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05" yWindow="300" windowWidth="14940" windowHeight="9150"/>
  </bookViews>
  <sheets>
    <sheet name="Type, Competition, Time" sheetId="2" r:id="rId1"/>
    <sheet name="Small Business" sheetId="1" r:id="rId2"/>
  </sheet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5" i="1"/>
  <c r="F9" i="2"/>
  <c r="G9" i="2"/>
  <c r="F13" i="2"/>
  <c r="G13" i="2"/>
  <c r="E13" i="2"/>
  <c r="G15" i="2"/>
  <c r="E15" i="2"/>
  <c r="G8" i="2"/>
  <c r="E9" i="2"/>
  <c r="E8" i="2"/>
  <c r="G12" i="2"/>
  <c r="E12" i="2"/>
  <c r="O5" i="2" l="1"/>
  <c r="O8" i="2" l="1"/>
  <c r="O11" i="2"/>
  <c r="O9" i="2"/>
  <c r="O13" i="2"/>
  <c r="O15" i="2"/>
  <c r="O14" i="2"/>
  <c r="O12" i="2"/>
  <c r="D13" i="2" l="1"/>
  <c r="D11" i="2"/>
  <c r="D9" i="2"/>
  <c r="P16" i="2"/>
  <c r="P11" i="2"/>
  <c r="P5" i="2"/>
  <c r="P9" i="2"/>
  <c r="P13" i="2"/>
  <c r="P15" i="2"/>
  <c r="P8" i="2"/>
  <c r="P14" i="2"/>
  <c r="P12" i="2"/>
  <c r="N15" i="2" l="1"/>
  <c r="N11" i="2"/>
  <c r="N9" i="2"/>
  <c r="N13" i="2"/>
  <c r="N8" i="2"/>
  <c r="N14" i="2"/>
  <c r="M12" i="2"/>
  <c r="M11" i="2"/>
  <c r="M9" i="2"/>
  <c r="M13" i="2"/>
  <c r="M15" i="2"/>
  <c r="M8" i="2"/>
  <c r="M14" i="2"/>
  <c r="P10" i="2"/>
  <c r="D12" i="2" l="1"/>
  <c r="D10" i="2"/>
  <c r="D5" i="2"/>
  <c r="D16" i="2"/>
  <c r="D15" i="2"/>
  <c r="D14" i="2"/>
  <c r="E14" i="2"/>
  <c r="F10" i="2"/>
  <c r="E16" i="2"/>
  <c r="G5" i="2"/>
  <c r="E5" i="2"/>
  <c r="G11" i="2"/>
  <c r="E11" i="2"/>
  <c r="D8" i="2"/>
  <c r="I10" i="2"/>
  <c r="I16" i="2"/>
  <c r="K5" i="2"/>
  <c r="I5" i="2"/>
  <c r="K11" i="2"/>
  <c r="J11" i="2"/>
  <c r="I11" i="2"/>
  <c r="J9" i="2"/>
  <c r="I9" i="2"/>
  <c r="J13" i="2"/>
  <c r="I13" i="2"/>
  <c r="J15" i="2"/>
  <c r="I15" i="2"/>
  <c r="L8" i="2"/>
  <c r="K8" i="2"/>
  <c r="J8" i="2"/>
  <c r="I8" i="2"/>
  <c r="J14" i="2"/>
  <c r="I14" i="2"/>
  <c r="K12" i="2"/>
  <c r="I12" i="2"/>
  <c r="K5" i="1" l="1"/>
  <c r="K15" i="1"/>
  <c r="K13" i="1"/>
  <c r="J11" i="1"/>
  <c r="J9" i="1"/>
  <c r="I13" i="1"/>
  <c r="I11" i="1"/>
  <c r="I9" i="1"/>
  <c r="H9" i="1"/>
  <c r="H14" i="1"/>
  <c r="F15" i="1"/>
  <c r="G15" i="1"/>
  <c r="G11" i="1"/>
  <c r="F11" i="1"/>
  <c r="F5" i="1"/>
  <c r="E15" i="1"/>
  <c r="E8" i="1"/>
  <c r="E14" i="1"/>
  <c r="E12" i="1"/>
  <c r="E5" i="1"/>
  <c r="K14" i="1" l="1"/>
  <c r="K12" i="1"/>
  <c r="K11" i="1"/>
  <c r="K9" i="1"/>
  <c r="K8" i="1"/>
  <c r="I14" i="1"/>
  <c r="H13" i="1"/>
  <c r="G5" i="1"/>
  <c r="H11" i="1"/>
  <c r="G14" i="1"/>
  <c r="G13" i="1"/>
  <c r="G12" i="1"/>
  <c r="G9" i="1"/>
  <c r="F8" i="1"/>
  <c r="G8" i="1"/>
  <c r="F14" i="1"/>
  <c r="F13" i="1"/>
  <c r="F12" i="1"/>
  <c r="F9" i="1"/>
  <c r="E13" i="1"/>
  <c r="E11" i="1"/>
  <c r="E9" i="1"/>
  <c r="F8" i="2"/>
</calcChain>
</file>

<file path=xl/sharedStrings.xml><?xml version="1.0" encoding="utf-8"?>
<sst xmlns="http://schemas.openxmlformats.org/spreadsheetml/2006/main" count="79" uniqueCount="50">
  <si>
    <t>D302</t>
  </si>
  <si>
    <t>D313</t>
  </si>
  <si>
    <t>D399</t>
  </si>
  <si>
    <t>R499</t>
  </si>
  <si>
    <t>R699</t>
  </si>
  <si>
    <t>S206</t>
  </si>
  <si>
    <t>Biggest Percentage of Obligations</t>
  </si>
  <si>
    <t>Obligations</t>
  </si>
  <si>
    <t>Small Business</t>
  </si>
  <si>
    <t>SDB</t>
  </si>
  <si>
    <t>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</si>
  <si>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</si>
  <si>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</si>
  <si>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</si>
  <si>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</si>
  <si>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</si>
  <si>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</si>
  <si>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</si>
  <si>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</si>
  <si>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</si>
  <si>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</si>
  <si>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</si>
  <si>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</si>
  <si>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</si>
  <si>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</si>
  <si>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</si>
  <si>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</si>
  <si>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</si>
  <si>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</si>
  <si>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</si>
  <si>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</si>
  <si>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</si>
  <si>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</si>
  <si>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SDVOSB</t>
  </si>
  <si>
    <t>Not Available for Comp.</t>
  </si>
  <si>
    <t>IT AND TELECOM- OTHER IT AND TELECOMMUNICATIONS</t>
  </si>
  <si>
    <t>SUPPORT- PROFESSIONAL: OTHER</t>
  </si>
  <si>
    <t>SUPPORT- ADMINISTRATIVE: OTHER</t>
  </si>
  <si>
    <t>IT AND TELECOM- SYSTEMS DEVELOPMENT</t>
  </si>
  <si>
    <t>IT AND TELECOM- COMPUTER AIDED DESIGN/COMPUTER AIDED MANUFACTURING (CAD/CAM)</t>
  </si>
  <si>
    <t>R425</t>
  </si>
  <si>
    <t>SUPPORT - PROFESSIONAL: ENGINEERING/TECHNICAL</t>
  </si>
  <si>
    <t>HOUSEKEEPING - GUARD</t>
  </si>
  <si>
    <t>See Above</t>
  </si>
  <si>
    <t>R710</t>
  </si>
  <si>
    <t>V301</t>
  </si>
  <si>
    <t>R408</t>
  </si>
  <si>
    <t>TRANSPORTATION/TRAVEL/RELOCATION-RELOCATION</t>
  </si>
  <si>
    <t>SUPPORT - PROFESSIONAL PROGRAM MANAGEMENT SUPPORT</t>
  </si>
  <si>
    <t>SUPPORT - MANAGEMENT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</si>
</sst>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%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6" xfId="0" applyNumberFormat="1" applyBorder="1"/>
    <xf numFmtId="0" fontId="0" fillId="0" borderId="6" xfId="0" applyBorder="1"/>
    <xf numFmtId="165" fontId="0" fillId="0" borderId="5" xfId="0" applyNumberFormat="1" applyBorder="1"/>
    <xf numFmtId="0" fontId="0" fillId="0" borderId="11" xfId="0" applyBorder="1"/>
    <xf numFmtId="166" fontId="0" fillId="0" borderId="11" xfId="0" applyNumberFormat="1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8" xfId="0" applyBorder="1" applyAlignment="1">
      <alignment wrapText="1"/>
    </xf>
    <xf numFmtId="165" fontId="0" fillId="0" borderId="18" xfId="0" applyNumberFormat="1" applyBorder="1"/>
    <xf numFmtId="0" fontId="0" fillId="0" borderId="18" xfId="0" applyBorder="1"/>
    <xf numFmtId="166" fontId="0" fillId="0" borderId="18" xfId="0" applyNumberFormat="1" applyBorder="1"/>
    <xf numFmtId="166" fontId="0" fillId="0" borderId="12" xfId="0" applyNumberFormat="1" applyBorder="1"/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166" fontId="0" fillId="0" borderId="15" xfId="0" applyNumberFormat="1" applyBorder="1"/>
    <xf numFmtId="0" fontId="4" fillId="0" borderId="5" xfId="0" applyFont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 wrapText="1"/>
    </xf>
    <xf numFmtId="166" fontId="0" fillId="0" borderId="19" xfId="0" applyNumberFormat="1" applyBorder="1"/>
    <xf numFmtId="166" fontId="0" fillId="0" borderId="4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6" xfId="0" applyNumberFormat="1" applyFill="1" applyBorder="1" applyAlignment="1">
      <alignment horizontal="right"/>
    </xf>
    <xf numFmtId="166" fontId="1" fillId="0" borderId="13" xfId="0" applyNumberFormat="1" applyFont="1" applyBorder="1"/>
    <xf numFmtId="166" fontId="0" fillId="0" borderId="20" xfId="0" applyNumberFormat="1" applyFill="1" applyBorder="1" applyAlignment="1">
      <alignment horizontal="right"/>
    </xf>
    <xf numFmtId="166" fontId="0" fillId="0" borderId="15" xfId="0" applyNumberForma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166" fontId="1" fillId="0" borderId="21" xfId="0" applyNumberFormat="1" applyFont="1" applyBorder="1"/>
    <xf numFmtId="164" fontId="1" fillId="3" borderId="22" xfId="0" applyNumberFormat="1" applyFont="1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13" xfId="0" applyBorder="1" applyAlignment="1"/>
    <xf numFmtId="0" fontId="0" fillId="0" borderId="20" xfId="0" applyBorder="1" applyAlignment="1"/>
    <xf numFmtId="0" fontId="0" fillId="2" borderId="17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workbookViewId="0">
      <pane xSplit="1" topLeftCell="B1" activePane="topRight" state="frozen"/>
      <selection pane="topRight" activeCell="A4" sqref="A4:B4"/>
    </sheetView>
  </sheetViews>
  <sheetFormatPr defaultRowHeight="12.75" x14ac:dyDescent="0.2"/>
  <cols>
    <col min="1" max="1" width="5.85546875" bestFit="1" customWidth="1"/>
    <col min="2" max="2" width="37" style="4" bestFit="1" customWidth="1"/>
    <col min="3" max="3" width="13.85546875" style="6" bestFit="1" customWidth="1"/>
    <col min="4" max="4" width="10.28515625" customWidth="1"/>
    <col min="5" max="8" width="9.140625" style="8" customWidth="1"/>
    <col min="9" max="9" width="10.42578125" style="8" customWidth="1"/>
    <col min="10" max="10" width="12.28515625" style="8" bestFit="1" customWidth="1"/>
    <col min="11" max="12" width="9.140625" style="8"/>
    <col min="13" max="13" width="12.28515625" style="8" bestFit="1" customWidth="1"/>
    <col min="14" max="16" width="9.140625" style="8"/>
  </cols>
  <sheetData>
    <row r="1" spans="1:16" x14ac:dyDescent="0.2">
      <c r="E1" s="72" t="s">
        <v>27</v>
      </c>
      <c r="F1" s="73"/>
      <c r="G1" s="73"/>
      <c r="H1" s="74"/>
      <c r="I1" s="72" t="s">
        <v>29</v>
      </c>
      <c r="J1" s="73"/>
      <c r="K1" s="73"/>
      <c r="L1" s="74"/>
      <c r="M1" s="72" t="s">
        <v>31</v>
      </c>
      <c r="N1" s="73"/>
      <c r="O1" s="73"/>
      <c r="P1" s="74"/>
    </row>
    <row r="2" spans="1:16" ht="13.5" thickBot="1" x14ac:dyDescent="0.25">
      <c r="E2" s="75" t="s">
        <v>28</v>
      </c>
      <c r="F2" s="76"/>
      <c r="G2" s="76"/>
      <c r="H2" s="77"/>
      <c r="I2" s="75" t="s">
        <v>30</v>
      </c>
      <c r="J2" s="76"/>
      <c r="K2" s="76"/>
      <c r="L2" s="77"/>
      <c r="M2" s="75" t="s">
        <v>28</v>
      </c>
      <c r="N2" s="76"/>
      <c r="O2" s="76"/>
      <c r="P2" s="77"/>
    </row>
    <row r="3" spans="1:16" s="4" customFormat="1" ht="38.25" x14ac:dyDescent="0.2">
      <c r="A3" s="44"/>
      <c r="B3" s="45"/>
      <c r="C3" s="46" t="s">
        <v>7</v>
      </c>
      <c r="D3" s="47" t="s">
        <v>14</v>
      </c>
      <c r="E3" s="14" t="s">
        <v>16</v>
      </c>
      <c r="F3" s="15" t="s">
        <v>17</v>
      </c>
      <c r="G3" s="15" t="s">
        <v>18</v>
      </c>
      <c r="H3" s="16" t="s">
        <v>19</v>
      </c>
      <c r="I3" s="14" t="s">
        <v>20</v>
      </c>
      <c r="J3" s="15" t="s">
        <v>21</v>
      </c>
      <c r="K3" s="15" t="s">
        <v>34</v>
      </c>
      <c r="L3" s="16" t="s">
        <v>22</v>
      </c>
      <c r="M3" s="22" t="s">
        <v>23</v>
      </c>
      <c r="N3" s="23" t="s">
        <v>24</v>
      </c>
      <c r="O3" s="23" t="s">
        <v>25</v>
      </c>
      <c r="P3" s="24" t="s">
        <v>26</v>
      </c>
    </row>
    <row r="4" spans="1:16" x14ac:dyDescent="0.2">
      <c r="A4" s="67" t="s">
        <v>13</v>
      </c>
      <c r="B4" s="68"/>
      <c r="C4" s="11"/>
      <c r="D4" s="12"/>
      <c r="E4" s="17"/>
      <c r="F4" s="18"/>
      <c r="G4" s="18"/>
      <c r="H4" s="9"/>
      <c r="I4" s="17"/>
      <c r="J4" s="18"/>
      <c r="K4" s="18"/>
      <c r="L4" s="9"/>
      <c r="M4" s="17"/>
      <c r="N4" s="18"/>
      <c r="O4" s="18"/>
      <c r="P4" s="9"/>
    </row>
    <row r="5" spans="1:16" ht="13.5" thickBot="1" x14ac:dyDescent="0.25">
      <c r="A5" s="62" t="s">
        <v>44</v>
      </c>
      <c r="B5" s="43" t="s">
        <v>49</v>
      </c>
      <c r="C5" s="53">
        <v>3614200</v>
      </c>
      <c r="D5" s="55">
        <f>C5/153052702.5</f>
        <v>2.3614088094916195E-2</v>
      </c>
      <c r="E5" s="63">
        <f>2504200/C5</f>
        <v>0.69287809197056061</v>
      </c>
      <c r="F5" s="20">
        <v>0</v>
      </c>
      <c r="G5" s="20">
        <f>1110000/C5</f>
        <v>0.30712190802943945</v>
      </c>
      <c r="H5" s="21">
        <v>0</v>
      </c>
      <c r="I5" s="19">
        <f>3481020/C5</f>
        <v>0.96315090476453991</v>
      </c>
      <c r="J5" s="20">
        <v>0</v>
      </c>
      <c r="K5" s="20">
        <f>133000/C5</f>
        <v>3.6799291682806705E-2</v>
      </c>
      <c r="L5" s="21">
        <v>0</v>
      </c>
      <c r="M5" s="19">
        <v>0</v>
      </c>
      <c r="N5" s="20">
        <v>0</v>
      </c>
      <c r="O5" s="20">
        <f>133000/C5</f>
        <v>3.6799291682806705E-2</v>
      </c>
      <c r="P5" s="21">
        <f>2366000.5/C5</f>
        <v>0.65464016933207902</v>
      </c>
    </row>
    <row r="6" spans="1:16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 x14ac:dyDescent="0.2">
      <c r="A7" s="33" t="s">
        <v>6</v>
      </c>
      <c r="B7" s="37"/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ht="25.5" x14ac:dyDescent="0.2">
      <c r="A8" s="5" t="s">
        <v>2</v>
      </c>
      <c r="B8" s="49" t="s">
        <v>35</v>
      </c>
      <c r="C8" s="50">
        <v>91748044.150000006</v>
      </c>
      <c r="D8" s="48">
        <f>C8/153052702.5</f>
        <v>0.59945393090984467</v>
      </c>
      <c r="E8" s="17">
        <f>58467153.55/C8</f>
        <v>0.63725776491116615</v>
      </c>
      <c r="F8" s="18">
        <f>0</f>
        <v>0</v>
      </c>
      <c r="G8" s="18">
        <f>33280910.6/C8</f>
        <v>0.36274245307713188</v>
      </c>
      <c r="H8" s="9">
        <v>0</v>
      </c>
      <c r="I8" s="17">
        <f>88886023.56/C8</f>
        <v>0.96880565012022657</v>
      </c>
      <c r="J8" s="18">
        <f>306049/C8</f>
        <v>3.3357550325501949E-3</v>
      </c>
      <c r="K8" s="18">
        <f>1515971.59/C8</f>
        <v>1.6523203345038283E-2</v>
      </c>
      <c r="L8" s="9">
        <f>40000/C8</f>
        <v>4.3597659623788283E-4</v>
      </c>
      <c r="M8" s="17">
        <f>306049/C8</f>
        <v>3.3357550325501949E-3</v>
      </c>
      <c r="N8" s="18">
        <f>51052.74/C8</f>
        <v>5.564449953454402E-4</v>
      </c>
      <c r="O8" s="18">
        <f>8234157.1/C8</f>
        <v>8.9747494633649894E-2</v>
      </c>
      <c r="P8" s="9">
        <f>36959099.05/C8</f>
        <v>0.40283255509594418</v>
      </c>
    </row>
    <row r="9" spans="1:16" x14ac:dyDescent="0.2">
      <c r="A9" s="5" t="s">
        <v>3</v>
      </c>
      <c r="B9" s="42" t="s">
        <v>36</v>
      </c>
      <c r="C9" s="50">
        <v>13268002.939999999</v>
      </c>
      <c r="D9" s="48">
        <f>C9/153052702.5</f>
        <v>8.6689112464381338E-2</v>
      </c>
      <c r="E9" s="17">
        <f>521601.51/C9</f>
        <v>3.9312736992806248E-2</v>
      </c>
      <c r="F9" s="18">
        <f>11412296.41/C9</f>
        <v>0.8601367109736261</v>
      </c>
      <c r="G9" s="13">
        <f>1343352.25/C9</f>
        <v>0.10124750922010273</v>
      </c>
      <c r="H9" s="9">
        <v>0</v>
      </c>
      <c r="I9" s="17">
        <f>2244027.94/C9</f>
        <v>0.16913079912235834</v>
      </c>
      <c r="J9" s="18">
        <f>11023975/C9</f>
        <v>0.83086920087764171</v>
      </c>
      <c r="K9" s="18">
        <v>0</v>
      </c>
      <c r="L9" s="9">
        <v>0</v>
      </c>
      <c r="M9" s="17">
        <f>222403/C9</f>
        <v>1.6762356852477456E-2</v>
      </c>
      <c r="N9" s="18">
        <f>679413.16/C9</f>
        <v>5.1206889467270506E-2</v>
      </c>
      <c r="O9" s="18">
        <f>1761671.78/C9</f>
        <v>0.13277595640930723</v>
      </c>
      <c r="P9" s="9">
        <f>7398967.78/C9</f>
        <v>0.55765496988953789</v>
      </c>
    </row>
    <row r="10" spans="1:16" ht="25.5" x14ac:dyDescent="0.2">
      <c r="A10" s="5" t="s">
        <v>45</v>
      </c>
      <c r="B10" s="42" t="s">
        <v>47</v>
      </c>
      <c r="C10" s="50">
        <v>4225000</v>
      </c>
      <c r="D10" s="48">
        <f>C10/153025702.5</f>
        <v>2.7609740919176635E-2</v>
      </c>
      <c r="E10" s="17">
        <v>0</v>
      </c>
      <c r="F10" s="18">
        <f>4225000/C10</f>
        <v>1</v>
      </c>
      <c r="G10" s="18">
        <v>0</v>
      </c>
      <c r="H10" s="9">
        <v>0</v>
      </c>
      <c r="I10" s="17">
        <f>4225000/C10</f>
        <v>1</v>
      </c>
      <c r="J10" s="18">
        <v>0</v>
      </c>
      <c r="K10" s="18">
        <v>0</v>
      </c>
      <c r="L10" s="9">
        <v>0</v>
      </c>
      <c r="M10" s="17">
        <v>0</v>
      </c>
      <c r="N10" s="18">
        <v>0</v>
      </c>
      <c r="O10" s="18">
        <v>0</v>
      </c>
      <c r="P10" s="9">
        <f>4225000/C10</f>
        <v>1</v>
      </c>
    </row>
    <row r="11" spans="1:16" x14ac:dyDescent="0.2">
      <c r="A11" s="5" t="s">
        <v>4</v>
      </c>
      <c r="B11" s="42" t="s">
        <v>37</v>
      </c>
      <c r="C11" s="50">
        <v>8089571.2199999997</v>
      </c>
      <c r="D11" s="48">
        <f t="shared" ref="D11:D16" si="0">C11/153052702.5</f>
        <v>5.2854808101150647E-2</v>
      </c>
      <c r="E11" s="17">
        <f>5419748.29/C11</f>
        <v>0.66996731255677111</v>
      </c>
      <c r="F11" s="18">
        <v>0</v>
      </c>
      <c r="G11" s="18">
        <f>2699822.93/C11</f>
        <v>0.33374116582658631</v>
      </c>
      <c r="H11" s="9">
        <v>0</v>
      </c>
      <c r="I11" s="17">
        <f>3856546.93/C11</f>
        <v>0.47673069747694247</v>
      </c>
      <c r="J11" s="18">
        <f>44201/C11</f>
        <v>5.4639484340926539E-3</v>
      </c>
      <c r="K11" s="18">
        <f>4188823.29/C11</f>
        <v>0.517805354088965</v>
      </c>
      <c r="L11" s="9">
        <v>0</v>
      </c>
      <c r="M11" s="17">
        <f>1078507.76/C11</f>
        <v>0.13332075714143971</v>
      </c>
      <c r="N11" s="18">
        <f>1227054.4/C11</f>
        <v>0.15168349058678537</v>
      </c>
      <c r="O11" s="18">
        <f>1122814.13/C11</f>
        <v>0.13879773098777415</v>
      </c>
      <c r="P11" s="9">
        <f>2036708.36/C11</f>
        <v>0.25176963087544213</v>
      </c>
    </row>
    <row r="12" spans="1:16" ht="25.5" x14ac:dyDescent="0.2">
      <c r="A12" s="51" t="s">
        <v>0</v>
      </c>
      <c r="B12" s="42" t="s">
        <v>38</v>
      </c>
      <c r="C12" s="50">
        <v>6102450</v>
      </c>
      <c r="D12" s="48">
        <f t="shared" si="0"/>
        <v>3.9871559928842157E-2</v>
      </c>
      <c r="E12" s="17">
        <f>896450/C12</f>
        <v>0.14690001556751797</v>
      </c>
      <c r="F12" s="18">
        <v>0</v>
      </c>
      <c r="G12" s="18">
        <f>5296000/C12</f>
        <v>0.86784815934583648</v>
      </c>
      <c r="H12" s="9">
        <v>0</v>
      </c>
      <c r="I12" s="17">
        <f>5642000/C12</f>
        <v>0.92454669845717707</v>
      </c>
      <c r="J12" s="18">
        <v>0</v>
      </c>
      <c r="K12" s="18">
        <f>460450/C12</f>
        <v>7.5453301542822968E-2</v>
      </c>
      <c r="L12" s="9">
        <v>0</v>
      </c>
      <c r="M12" s="17">
        <f>29000/C12</f>
        <v>4.7521896943031076E-3</v>
      </c>
      <c r="N12" s="18">
        <v>0</v>
      </c>
      <c r="O12" s="18">
        <f>762000/C12</f>
        <v>0.12486788093306786</v>
      </c>
      <c r="P12" s="9">
        <f>2141050/C12</f>
        <v>0.35085088775819551</v>
      </c>
    </row>
    <row r="13" spans="1:16" ht="25.5" x14ac:dyDescent="0.2">
      <c r="A13" s="52" t="s">
        <v>40</v>
      </c>
      <c r="B13" s="54" t="s">
        <v>41</v>
      </c>
      <c r="C13" s="50">
        <v>14744894.310000001</v>
      </c>
      <c r="D13" s="48">
        <f t="shared" si="0"/>
        <v>9.6338673340315567E-2</v>
      </c>
      <c r="E13" s="56">
        <f>834873.06/C13</f>
        <v>5.6621162718934401E-2</v>
      </c>
      <c r="F13" s="57">
        <f>6602110.5/C13</f>
        <v>0.44775570181757374</v>
      </c>
      <c r="G13" s="57">
        <f>7307910.75/C13</f>
        <v>0.49562313546349179</v>
      </c>
      <c r="H13" s="58">
        <v>0</v>
      </c>
      <c r="I13" s="56">
        <f>5642000/C13</f>
        <v>0.38264092514882186</v>
      </c>
      <c r="J13" s="57">
        <f>3496874.06/C13</f>
        <v>0.23715829944121178</v>
      </c>
      <c r="K13" s="57">
        <v>0</v>
      </c>
      <c r="L13" s="58">
        <v>0</v>
      </c>
      <c r="M13" s="56">
        <f>250000/C13</f>
        <v>1.6955021497200545E-2</v>
      </c>
      <c r="N13" s="57">
        <f>367000/C13</f>
        <v>2.4889971557890401E-2</v>
      </c>
      <c r="O13" s="57">
        <f>2291543.5/C13</f>
        <v>0.15541267721708071</v>
      </c>
      <c r="P13" s="58">
        <f>8235155.5/C13</f>
        <v>0.5585089541411572</v>
      </c>
    </row>
    <row r="14" spans="1:16" ht="38.25" x14ac:dyDescent="0.2">
      <c r="A14" s="51" t="s">
        <v>1</v>
      </c>
      <c r="B14" s="42" t="s">
        <v>39</v>
      </c>
      <c r="C14" s="50">
        <v>3634325.88</v>
      </c>
      <c r="D14" s="48">
        <f t="shared" si="0"/>
        <v>2.3745584498908144E-2</v>
      </c>
      <c r="E14" s="17">
        <f>3634325.88/C14</f>
        <v>1</v>
      </c>
      <c r="F14" s="18">
        <v>0</v>
      </c>
      <c r="G14" s="18">
        <v>0</v>
      </c>
      <c r="H14" s="9">
        <v>0</v>
      </c>
      <c r="I14" s="17">
        <f>1149979.88/C14</f>
        <v>0.31642178438880114</v>
      </c>
      <c r="J14" s="18">
        <f>2484346/C14</f>
        <v>0.68357821561119891</v>
      </c>
      <c r="K14" s="18">
        <v>0</v>
      </c>
      <c r="L14" s="9">
        <v>0</v>
      </c>
      <c r="M14" s="17">
        <f>660000/C14</f>
        <v>0.18160176654274052</v>
      </c>
      <c r="N14" s="18">
        <f>33417.62/C14</f>
        <v>9.1949982206879048E-3</v>
      </c>
      <c r="O14" s="18">
        <f>92277/C14</f>
        <v>2.5390403350400707E-2</v>
      </c>
      <c r="P14" s="9">
        <f>372745.27/C14</f>
        <v>0.1025624234885618</v>
      </c>
    </row>
    <row r="15" spans="1:16" ht="25.5" x14ac:dyDescent="0.2">
      <c r="A15" s="52" t="s">
        <v>46</v>
      </c>
      <c r="B15" s="54" t="s">
        <v>48</v>
      </c>
      <c r="C15" s="50">
        <v>3524646.65</v>
      </c>
      <c r="D15" s="48">
        <f t="shared" si="0"/>
        <v>2.302897363083151E-2</v>
      </c>
      <c r="E15" s="59">
        <f>462005/C15</f>
        <v>0.13107838767327215</v>
      </c>
      <c r="F15" s="18">
        <v>0</v>
      </c>
      <c r="G15" s="18">
        <f>3062641.65/C15</f>
        <v>0.86892161232672782</v>
      </c>
      <c r="H15" s="9">
        <v>0</v>
      </c>
      <c r="I15" s="17">
        <f>3231641.65/C15</f>
        <v>0.91686968110689904</v>
      </c>
      <c r="J15" s="18">
        <f>293005/C15</f>
        <v>8.3130318893100963E-2</v>
      </c>
      <c r="K15" s="18">
        <v>0</v>
      </c>
      <c r="L15" s="9">
        <v>0</v>
      </c>
      <c r="M15" s="17">
        <f>450000/C15</f>
        <v>0.12767237249158012</v>
      </c>
      <c r="N15" s="18">
        <f>800000/C15</f>
        <v>0.22697310665169798</v>
      </c>
      <c r="O15" s="18">
        <f>50000/C15</f>
        <v>1.4185819165731124E-2</v>
      </c>
      <c r="P15" s="9">
        <f>2333646.65/C15</f>
        <v>0.66209378747228465</v>
      </c>
    </row>
    <row r="16" spans="1:16" x14ac:dyDescent="0.2">
      <c r="A16" s="52" t="s">
        <v>5</v>
      </c>
      <c r="B16" s="42" t="s">
        <v>42</v>
      </c>
      <c r="C16" s="50">
        <v>4101567.35</v>
      </c>
      <c r="D16" s="48">
        <f t="shared" si="0"/>
        <v>2.6798398741113377E-2</v>
      </c>
      <c r="E16" s="56">
        <f>4101567.35/C16</f>
        <v>1</v>
      </c>
      <c r="F16" s="57">
        <v>0</v>
      </c>
      <c r="G16" s="57">
        <v>0</v>
      </c>
      <c r="H16" s="58">
        <v>0</v>
      </c>
      <c r="I16" s="56">
        <f>4101567.35/C16</f>
        <v>1</v>
      </c>
      <c r="J16" s="57">
        <v>0</v>
      </c>
      <c r="K16" s="57">
        <v>0</v>
      </c>
      <c r="L16" s="58">
        <v>0</v>
      </c>
      <c r="M16" s="56">
        <v>0</v>
      </c>
      <c r="N16" s="57">
        <v>0</v>
      </c>
      <c r="O16" s="57">
        <v>0</v>
      </c>
      <c r="P16" s="58">
        <f>1101567.35/C16</f>
        <v>0.26857229346727662</v>
      </c>
    </row>
    <row r="17" spans="1:16" ht="13.5" thickBot="1" x14ac:dyDescent="0.25">
      <c r="A17" s="62" t="s">
        <v>44</v>
      </c>
      <c r="B17" s="43"/>
      <c r="C17" s="64" t="s">
        <v>43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x14ac:dyDescent="0.2">
      <c r="A18" s="1"/>
      <c r="B18" s="3"/>
      <c r="C18" s="7"/>
    </row>
    <row r="19" spans="1:16" x14ac:dyDescent="0.2">
      <c r="A19" s="1"/>
      <c r="B19" s="3"/>
      <c r="C19" s="7"/>
    </row>
    <row r="20" spans="1:16" x14ac:dyDescent="0.2">
      <c r="A20" s="1"/>
      <c r="B20" s="3"/>
      <c r="C20" s="7"/>
    </row>
    <row r="21" spans="1:16" x14ac:dyDescent="0.2">
      <c r="A21" s="1"/>
      <c r="B21" s="3"/>
      <c r="C21" s="7"/>
    </row>
    <row r="22" spans="1:16" x14ac:dyDescent="0.2">
      <c r="A22" s="1"/>
      <c r="B22" s="3"/>
      <c r="C22" s="7"/>
    </row>
    <row r="23" spans="1:16" x14ac:dyDescent="0.2">
      <c r="A23" s="1"/>
      <c r="B23" s="3"/>
      <c r="C23" s="7"/>
    </row>
    <row r="24" spans="1:16" x14ac:dyDescent="0.2">
      <c r="A24" s="1"/>
      <c r="B24" s="3"/>
      <c r="C24" s="7"/>
    </row>
    <row r="25" spans="1:16" x14ac:dyDescent="0.2">
      <c r="A25" s="1"/>
      <c r="B25" s="3"/>
      <c r="C25" s="7"/>
    </row>
    <row r="26" spans="1:16" x14ac:dyDescent="0.2">
      <c r="A26" s="1"/>
      <c r="B26" s="3"/>
      <c r="C26" s="7"/>
    </row>
    <row r="27" spans="1:16" x14ac:dyDescent="0.2">
      <c r="A27" s="1"/>
      <c r="B27" s="3"/>
      <c r="C27" s="7"/>
    </row>
    <row r="28" spans="1:16" x14ac:dyDescent="0.2">
      <c r="A28" s="1"/>
      <c r="B28" s="3"/>
      <c r="C28" s="7"/>
    </row>
    <row r="29" spans="1:16" x14ac:dyDescent="0.2">
      <c r="A29" s="1"/>
      <c r="B29" s="3"/>
      <c r="C29" s="7"/>
    </row>
    <row r="30" spans="1:16" x14ac:dyDescent="0.2">
      <c r="A30" s="1"/>
      <c r="B30" s="3"/>
      <c r="C30" s="7"/>
    </row>
    <row r="31" spans="1:16" x14ac:dyDescent="0.2">
      <c r="A31" s="1"/>
      <c r="B31" s="3"/>
      <c r="C31" s="7"/>
    </row>
    <row r="32" spans="1:16" x14ac:dyDescent="0.2">
      <c r="A32" s="1"/>
      <c r="B32" s="3"/>
      <c r="C32" s="7"/>
    </row>
    <row r="33" spans="1:3" x14ac:dyDescent="0.2">
      <c r="A33" s="1"/>
      <c r="B33" s="3"/>
      <c r="C33" s="7"/>
    </row>
    <row r="34" spans="1:3" x14ac:dyDescent="0.2">
      <c r="A34" s="1"/>
      <c r="B34" s="3"/>
      <c r="C34" s="7"/>
    </row>
    <row r="35" spans="1:3" x14ac:dyDescent="0.2">
      <c r="A35" s="1"/>
      <c r="B35" s="3"/>
      <c r="C35" s="7"/>
    </row>
    <row r="36" spans="1:3" x14ac:dyDescent="0.2">
      <c r="A36" s="1"/>
      <c r="B36" s="3"/>
      <c r="C36" s="7"/>
    </row>
    <row r="37" spans="1:3" x14ac:dyDescent="0.2">
      <c r="A37" s="1"/>
      <c r="B37" s="3"/>
      <c r="C37" s="7"/>
    </row>
    <row r="38" spans="1:3" x14ac:dyDescent="0.2">
      <c r="A38" s="1"/>
      <c r="B38" s="3"/>
      <c r="C38" s="7"/>
    </row>
    <row r="39" spans="1:3" x14ac:dyDescent="0.2">
      <c r="A39" s="1"/>
      <c r="B39" s="3"/>
      <c r="C39" s="7"/>
    </row>
    <row r="40" spans="1:3" x14ac:dyDescent="0.2">
      <c r="A40" s="1"/>
      <c r="B40" s="3"/>
      <c r="C40" s="7"/>
    </row>
    <row r="41" spans="1:3" x14ac:dyDescent="0.2">
      <c r="A41" s="1"/>
      <c r="B41" s="3"/>
      <c r="C41" s="7"/>
    </row>
    <row r="42" spans="1:3" x14ac:dyDescent="0.2">
      <c r="A42" s="1"/>
      <c r="B42" s="3"/>
      <c r="C42" s="7"/>
    </row>
    <row r="43" spans="1:3" x14ac:dyDescent="0.2">
      <c r="A43" s="1"/>
      <c r="B43" s="3"/>
      <c r="C43" s="7"/>
    </row>
    <row r="44" spans="1:3" x14ac:dyDescent="0.2">
      <c r="A44" s="1"/>
      <c r="B44" s="3"/>
      <c r="C44" s="7"/>
    </row>
    <row r="45" spans="1:3" x14ac:dyDescent="0.2">
      <c r="A45" s="1"/>
      <c r="B45" s="3"/>
      <c r="C45" s="7"/>
    </row>
    <row r="46" spans="1:3" x14ac:dyDescent="0.2">
      <c r="A46" s="1"/>
      <c r="B46" s="3"/>
      <c r="C46" s="7"/>
    </row>
    <row r="47" spans="1:3" x14ac:dyDescent="0.2">
      <c r="A47" s="1"/>
      <c r="B47" s="3"/>
      <c r="C47" s="7"/>
    </row>
    <row r="48" spans="1:3" x14ac:dyDescent="0.2">
      <c r="A48" s="1"/>
      <c r="B48" s="3"/>
      <c r="C48" s="7"/>
    </row>
    <row r="49" spans="1:3" x14ac:dyDescent="0.2">
      <c r="A49" s="1"/>
      <c r="B49" s="3"/>
      <c r="C49" s="7"/>
    </row>
    <row r="50" spans="1:3" x14ac:dyDescent="0.2">
      <c r="A50" s="1"/>
      <c r="B50" s="3"/>
      <c r="C50" s="7"/>
    </row>
    <row r="51" spans="1:3" x14ac:dyDescent="0.2">
      <c r="A51" s="1"/>
      <c r="B51" s="3"/>
      <c r="C51" s="7"/>
    </row>
    <row r="52" spans="1:3" x14ac:dyDescent="0.2">
      <c r="A52" s="1"/>
      <c r="B52" s="3"/>
      <c r="C52" s="7"/>
    </row>
    <row r="53" spans="1:3" x14ac:dyDescent="0.2">
      <c r="A53" s="1"/>
      <c r="B53" s="3"/>
      <c r="C53" s="7"/>
    </row>
    <row r="54" spans="1:3" x14ac:dyDescent="0.2">
      <c r="A54" s="1"/>
      <c r="B54" s="3"/>
      <c r="C54" s="7"/>
    </row>
    <row r="55" spans="1:3" x14ac:dyDescent="0.2">
      <c r="A55" s="1"/>
      <c r="B55" s="3"/>
      <c r="C55" s="7"/>
    </row>
    <row r="56" spans="1:3" x14ac:dyDescent="0.2">
      <c r="A56" s="1"/>
      <c r="B56" s="3"/>
      <c r="C56" s="7"/>
    </row>
    <row r="57" spans="1:3" x14ac:dyDescent="0.2">
      <c r="A57" s="1"/>
      <c r="B57" s="3"/>
      <c r="C57" s="7"/>
    </row>
    <row r="58" spans="1:3" x14ac:dyDescent="0.2">
      <c r="A58" s="1"/>
      <c r="B58" s="3"/>
      <c r="C58" s="7"/>
    </row>
    <row r="59" spans="1:3" x14ac:dyDescent="0.2">
      <c r="A59" s="1"/>
      <c r="B59" s="3"/>
      <c r="C59" s="7"/>
    </row>
    <row r="60" spans="1:3" x14ac:dyDescent="0.2">
      <c r="A60" s="1"/>
      <c r="B60" s="3"/>
      <c r="C60" s="7"/>
    </row>
    <row r="61" spans="1:3" x14ac:dyDescent="0.2">
      <c r="A61" s="1"/>
      <c r="B61" s="3"/>
      <c r="C61" s="7"/>
    </row>
    <row r="62" spans="1:3" x14ac:dyDescent="0.2">
      <c r="A62" s="1"/>
      <c r="B62" s="3"/>
      <c r="C62" s="7"/>
    </row>
    <row r="63" spans="1:3" x14ac:dyDescent="0.2">
      <c r="A63" s="1"/>
      <c r="B63" s="3"/>
      <c r="C63" s="7"/>
    </row>
    <row r="64" spans="1:3" x14ac:dyDescent="0.2">
      <c r="A64" s="1"/>
      <c r="B64" s="3"/>
      <c r="C64" s="7"/>
    </row>
    <row r="65" spans="1:3" x14ac:dyDescent="0.2">
      <c r="A65" s="1"/>
      <c r="B65" s="3"/>
      <c r="C65" s="7"/>
    </row>
    <row r="66" spans="1:3" x14ac:dyDescent="0.2">
      <c r="A66" s="1"/>
      <c r="B66" s="3"/>
      <c r="C66" s="7"/>
    </row>
    <row r="67" spans="1:3" x14ac:dyDescent="0.2">
      <c r="A67" s="1"/>
      <c r="B67" s="3"/>
      <c r="C67" s="7"/>
    </row>
    <row r="68" spans="1:3" x14ac:dyDescent="0.2">
      <c r="A68" s="1"/>
      <c r="B68" s="3"/>
      <c r="C68" s="7"/>
    </row>
    <row r="69" spans="1:3" x14ac:dyDescent="0.2">
      <c r="A69" s="1"/>
      <c r="B69" s="3"/>
      <c r="C69" s="7"/>
    </row>
    <row r="70" spans="1:3" x14ac:dyDescent="0.2">
      <c r="A70" s="1"/>
      <c r="B70" s="3"/>
      <c r="C70" s="7"/>
    </row>
    <row r="71" spans="1:3" x14ac:dyDescent="0.2">
      <c r="A71" s="1"/>
      <c r="B71" s="3"/>
      <c r="C71" s="7"/>
    </row>
    <row r="72" spans="1:3" x14ac:dyDescent="0.2">
      <c r="A72" s="1"/>
      <c r="B72" s="3"/>
      <c r="C72" s="7"/>
    </row>
    <row r="73" spans="1:3" x14ac:dyDescent="0.2">
      <c r="A73" s="1"/>
      <c r="B73" s="3"/>
      <c r="C73" s="7"/>
    </row>
    <row r="74" spans="1:3" x14ac:dyDescent="0.2">
      <c r="A74" s="1"/>
      <c r="B74" s="3"/>
      <c r="C74" s="7"/>
    </row>
    <row r="75" spans="1:3" x14ac:dyDescent="0.2">
      <c r="A75" s="1"/>
      <c r="B75" s="3"/>
      <c r="C75" s="7"/>
    </row>
    <row r="76" spans="1:3" x14ac:dyDescent="0.2">
      <c r="A76" s="1"/>
      <c r="B76" s="3"/>
      <c r="C76" s="7"/>
    </row>
    <row r="77" spans="1:3" x14ac:dyDescent="0.2">
      <c r="A77" s="1"/>
      <c r="B77" s="3"/>
      <c r="C77" s="7"/>
    </row>
    <row r="78" spans="1:3" x14ac:dyDescent="0.2">
      <c r="A78" s="1"/>
      <c r="B78" s="3"/>
      <c r="C78" s="7"/>
    </row>
    <row r="79" spans="1:3" x14ac:dyDescent="0.2">
      <c r="A79" s="1"/>
      <c r="B79" s="3"/>
      <c r="C79" s="7"/>
    </row>
    <row r="80" spans="1:3" x14ac:dyDescent="0.2">
      <c r="A80" s="1"/>
      <c r="B80" s="3"/>
      <c r="C80" s="7"/>
    </row>
    <row r="81" spans="1:3" x14ac:dyDescent="0.2">
      <c r="A81" s="1"/>
      <c r="B81" s="3"/>
      <c r="C81" s="7"/>
    </row>
    <row r="82" spans="1:3" x14ac:dyDescent="0.2">
      <c r="A82" s="1"/>
      <c r="B82" s="3"/>
      <c r="C82" s="7"/>
    </row>
    <row r="83" spans="1:3" x14ac:dyDescent="0.2">
      <c r="A83" s="1"/>
      <c r="B83" s="3"/>
      <c r="C83" s="7"/>
    </row>
    <row r="84" spans="1:3" x14ac:dyDescent="0.2">
      <c r="A84" s="1"/>
      <c r="B84" s="3"/>
      <c r="C84" s="7"/>
    </row>
    <row r="85" spans="1:3" x14ac:dyDescent="0.2">
      <c r="A85" s="1"/>
      <c r="B85" s="3"/>
      <c r="C85" s="7"/>
    </row>
    <row r="86" spans="1:3" x14ac:dyDescent="0.2">
      <c r="A86" s="1"/>
      <c r="B86" s="3"/>
      <c r="C86" s="7"/>
    </row>
    <row r="87" spans="1:3" x14ac:dyDescent="0.2">
      <c r="A87" s="1"/>
      <c r="B87" s="3"/>
      <c r="C87" s="7"/>
    </row>
    <row r="88" spans="1:3" x14ac:dyDescent="0.2">
      <c r="A88" s="1"/>
      <c r="B88" s="3"/>
      <c r="C88" s="7"/>
    </row>
    <row r="89" spans="1:3" x14ac:dyDescent="0.2">
      <c r="A89" s="1"/>
      <c r="B89" s="3"/>
      <c r="C89" s="7"/>
    </row>
    <row r="90" spans="1:3" x14ac:dyDescent="0.2">
      <c r="A90" s="1"/>
      <c r="B90" s="3"/>
      <c r="C90" s="7"/>
    </row>
    <row r="91" spans="1:3" x14ac:dyDescent="0.2">
      <c r="A91" s="1"/>
      <c r="B91" s="3"/>
      <c r="C91" s="7"/>
    </row>
    <row r="92" spans="1:3" x14ac:dyDescent="0.2">
      <c r="A92" s="1"/>
      <c r="B92" s="3"/>
      <c r="C92" s="7"/>
    </row>
    <row r="93" spans="1:3" x14ac:dyDescent="0.2">
      <c r="A93" s="1"/>
      <c r="B93" s="3"/>
      <c r="C93" s="7"/>
    </row>
    <row r="94" spans="1:3" x14ac:dyDescent="0.2">
      <c r="A94" s="1"/>
      <c r="B94" s="3"/>
      <c r="C94" s="7"/>
    </row>
    <row r="95" spans="1:3" x14ac:dyDescent="0.2">
      <c r="A95" s="1"/>
      <c r="B95" s="3"/>
      <c r="C95" s="7"/>
    </row>
    <row r="96" spans="1:3" x14ac:dyDescent="0.2">
      <c r="A96" s="1"/>
      <c r="B96" s="3"/>
      <c r="C96" s="7"/>
    </row>
    <row r="97" spans="1:3" x14ac:dyDescent="0.2">
      <c r="A97" s="1"/>
      <c r="B97" s="3"/>
      <c r="C97" s="7"/>
    </row>
    <row r="98" spans="1:3" x14ac:dyDescent="0.2">
      <c r="A98" s="1"/>
      <c r="B98" s="3"/>
      <c r="C98" s="7"/>
    </row>
    <row r="99" spans="1:3" x14ac:dyDescent="0.2">
      <c r="A99" s="1"/>
      <c r="B99" s="3"/>
      <c r="C99" s="7"/>
    </row>
    <row r="100" spans="1:3" x14ac:dyDescent="0.2">
      <c r="A100" s="1"/>
      <c r="B100" s="3"/>
      <c r="C100" s="7"/>
    </row>
    <row r="101" spans="1:3" x14ac:dyDescent="0.2">
      <c r="A101" s="1"/>
      <c r="B101" s="3"/>
      <c r="C101" s="7"/>
    </row>
    <row r="102" spans="1:3" x14ac:dyDescent="0.2">
      <c r="A102" s="1"/>
      <c r="B102" s="3"/>
      <c r="C102" s="7"/>
    </row>
    <row r="103" spans="1:3" x14ac:dyDescent="0.2">
      <c r="A103" s="1"/>
      <c r="B103" s="3"/>
      <c r="C103" s="7"/>
    </row>
    <row r="104" spans="1:3" x14ac:dyDescent="0.2">
      <c r="A104" s="1"/>
      <c r="B104" s="3"/>
      <c r="C104" s="7"/>
    </row>
    <row r="105" spans="1:3" x14ac:dyDescent="0.2">
      <c r="A105" s="1"/>
      <c r="B105" s="3"/>
      <c r="C105" s="7"/>
    </row>
    <row r="106" spans="1:3" x14ac:dyDescent="0.2">
      <c r="A106" s="1"/>
      <c r="B106" s="3"/>
      <c r="C106" s="7"/>
    </row>
    <row r="107" spans="1:3" x14ac:dyDescent="0.2">
      <c r="A107" s="1"/>
      <c r="B107" s="3"/>
      <c r="C107" s="7"/>
    </row>
    <row r="108" spans="1:3" x14ac:dyDescent="0.2">
      <c r="A108" s="1"/>
      <c r="B108" s="3"/>
      <c r="C108" s="7"/>
    </row>
    <row r="109" spans="1:3" x14ac:dyDescent="0.2">
      <c r="A109" s="1"/>
      <c r="B109" s="3"/>
      <c r="C109" s="7"/>
    </row>
    <row r="110" spans="1:3" x14ac:dyDescent="0.2">
      <c r="A110" s="1"/>
      <c r="B110" s="3"/>
      <c r="C110" s="7"/>
    </row>
    <row r="111" spans="1:3" x14ac:dyDescent="0.2">
      <c r="A111" s="1"/>
      <c r="B111" s="3"/>
      <c r="C111" s="7"/>
    </row>
    <row r="112" spans="1:3" x14ac:dyDescent="0.2">
      <c r="A112" s="1"/>
      <c r="B112" s="3"/>
      <c r="C112" s="7"/>
    </row>
    <row r="113" spans="1:3" x14ac:dyDescent="0.2">
      <c r="A113" s="1"/>
      <c r="B113" s="3"/>
      <c r="C113" s="7"/>
    </row>
    <row r="114" spans="1:3" x14ac:dyDescent="0.2">
      <c r="A114" s="1"/>
      <c r="B114" s="3"/>
      <c r="C114" s="7"/>
    </row>
    <row r="115" spans="1:3" x14ac:dyDescent="0.2">
      <c r="A115" s="1"/>
      <c r="B115" s="3"/>
      <c r="C115" s="7"/>
    </row>
    <row r="116" spans="1:3" x14ac:dyDescent="0.2">
      <c r="A116" s="1"/>
      <c r="B116" s="3"/>
      <c r="C116" s="7"/>
    </row>
    <row r="117" spans="1:3" x14ac:dyDescent="0.2">
      <c r="A117" s="1"/>
      <c r="B117" s="3"/>
      <c r="C117" s="7"/>
    </row>
  </sheetData>
  <mergeCells count="9">
    <mergeCell ref="C17:P17"/>
    <mergeCell ref="A4:B4"/>
    <mergeCell ref="A6:P6"/>
    <mergeCell ref="E1:H1"/>
    <mergeCell ref="E2:H2"/>
    <mergeCell ref="I1:L1"/>
    <mergeCell ref="I2:L2"/>
    <mergeCell ref="M1:P1"/>
    <mergeCell ref="M2:P2"/>
  </mergeCells>
  <printOptions horizontalCentered="1"/>
  <pageMargins left="0.25" right="0.25" top="0.75" bottom="0.75" header="0.5" footer="0.5"/>
  <pageSetup paperSize="5" scale="90" orientation="landscape" r:id="rId1"/>
  <headerFooter alignWithMargins="0">
    <oddHeader>&amp;L&amp;8Appendix C - Inventory Summary - NRC FY 2013</oddHeader>
    <oddFooter>&amp;C&amp;8Page 1 of 2&amp;R&amp;8-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selection activeCell="A4" sqref="A4:B4"/>
    </sheetView>
  </sheetViews>
  <sheetFormatPr defaultRowHeight="12.75" x14ac:dyDescent="0.2"/>
  <cols>
    <col min="1" max="1" width="5.85546875" bestFit="1" customWidth="1"/>
    <col min="2" max="2" width="37" style="4" customWidth="1"/>
    <col min="3" max="3" width="16.85546875" bestFit="1" customWidth="1"/>
    <col min="4" max="4" width="10.28515625" customWidth="1"/>
    <col min="5" max="5" width="9.28515625" bestFit="1" customWidth="1"/>
    <col min="8" max="8" width="12.28515625" bestFit="1" customWidth="1"/>
    <col min="9" max="9" width="10.42578125" customWidth="1"/>
  </cols>
  <sheetData>
    <row r="1" spans="1:11" x14ac:dyDescent="0.2">
      <c r="A1" s="34"/>
      <c r="B1" s="35"/>
      <c r="C1" s="34"/>
      <c r="D1" s="25"/>
      <c r="E1" s="80" t="s">
        <v>32</v>
      </c>
      <c r="F1" s="81"/>
      <c r="G1" s="81"/>
      <c r="H1" s="81"/>
      <c r="I1" s="81"/>
      <c r="J1" s="81"/>
      <c r="K1" s="82"/>
    </row>
    <row r="2" spans="1:11" ht="13.5" thickBot="1" x14ac:dyDescent="0.25">
      <c r="A2" s="34"/>
      <c r="B2" s="35"/>
      <c r="C2" s="34"/>
      <c r="D2" s="25"/>
      <c r="E2" s="80" t="s">
        <v>30</v>
      </c>
      <c r="F2" s="81"/>
      <c r="G2" s="81"/>
      <c r="H2" s="81"/>
      <c r="I2" s="81"/>
      <c r="J2" s="81"/>
      <c r="K2" s="82"/>
    </row>
    <row r="3" spans="1:11" s="4" customFormat="1" ht="25.5" x14ac:dyDescent="0.2">
      <c r="A3" s="44"/>
      <c r="B3" s="45"/>
      <c r="C3" s="45" t="s">
        <v>7</v>
      </c>
      <c r="D3" s="47" t="s">
        <v>14</v>
      </c>
      <c r="E3" s="26" t="s">
        <v>8</v>
      </c>
      <c r="F3" s="27" t="s">
        <v>9</v>
      </c>
      <c r="G3" s="28" t="s">
        <v>15</v>
      </c>
      <c r="H3" s="27" t="s">
        <v>10</v>
      </c>
      <c r="I3" s="28" t="s">
        <v>33</v>
      </c>
      <c r="J3" s="27" t="s">
        <v>11</v>
      </c>
      <c r="K3" s="29" t="s">
        <v>12</v>
      </c>
    </row>
    <row r="4" spans="1:11" x14ac:dyDescent="0.2">
      <c r="A4" s="78" t="s">
        <v>13</v>
      </c>
      <c r="B4" s="79"/>
      <c r="C4" s="11"/>
      <c r="D4" s="10"/>
      <c r="E4" s="30"/>
      <c r="F4" s="31"/>
      <c r="G4" s="31"/>
      <c r="H4" s="31"/>
      <c r="I4" s="31"/>
      <c r="J4" s="31"/>
      <c r="K4" s="32"/>
    </row>
    <row r="5" spans="1:11" ht="13.5" thickBot="1" x14ac:dyDescent="0.25">
      <c r="A5" s="62" t="s">
        <v>44</v>
      </c>
      <c r="B5" s="43" t="s">
        <v>49</v>
      </c>
      <c r="C5" s="53">
        <v>3614200</v>
      </c>
      <c r="D5" s="55">
        <f>C5/153052702.5</f>
        <v>2.3614088094916195E-2</v>
      </c>
      <c r="E5" s="19">
        <f>2504200/C5</f>
        <v>0.69287809197056061</v>
      </c>
      <c r="F5" s="20">
        <f>133000/C5</f>
        <v>3.6799291682806705E-2</v>
      </c>
      <c r="G5" s="20">
        <f>30821.65/C5</f>
        <v>8.5279314924464611E-3</v>
      </c>
      <c r="H5" s="20">
        <v>0</v>
      </c>
      <c r="I5" s="20">
        <v>0</v>
      </c>
      <c r="J5" s="20">
        <v>0</v>
      </c>
      <c r="K5" s="21">
        <f>133000/C5</f>
        <v>3.6799291682806705E-2</v>
      </c>
    </row>
    <row r="6" spans="1:11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2">
      <c r="A7" s="33" t="s">
        <v>6</v>
      </c>
      <c r="B7" s="35"/>
      <c r="C7" s="34"/>
      <c r="D7" s="34"/>
      <c r="E7" s="34"/>
      <c r="F7" s="34"/>
      <c r="G7" s="34"/>
      <c r="H7" s="34"/>
      <c r="I7" s="34"/>
      <c r="J7" s="34"/>
      <c r="K7" s="36"/>
    </row>
    <row r="8" spans="1:11" ht="25.5" x14ac:dyDescent="0.2">
      <c r="A8" s="5" t="s">
        <v>2</v>
      </c>
      <c r="B8" s="49" t="s">
        <v>35</v>
      </c>
      <c r="C8" s="50">
        <v>91748044.150000006</v>
      </c>
      <c r="D8" s="48">
        <f t="shared" ref="D8:D16" si="0">C8/153052702.5</f>
        <v>0.59945393090984467</v>
      </c>
      <c r="E8" s="17">
        <f>10941499/C8</f>
        <v>0.11925593729400497</v>
      </c>
      <c r="F8" s="18">
        <f>2404942.6/C8</f>
        <v>2.6212467222387105E-2</v>
      </c>
      <c r="G8" s="18">
        <f>2404942.6/C8</f>
        <v>2.6212467222387105E-2</v>
      </c>
      <c r="H8" s="18">
        <v>0</v>
      </c>
      <c r="I8" s="18">
        <v>0</v>
      </c>
      <c r="J8" s="18">
        <v>0</v>
      </c>
      <c r="K8" s="9">
        <f>2267722.93/C8</f>
        <v>2.4716853105799966E-2</v>
      </c>
    </row>
    <row r="9" spans="1:11" x14ac:dyDescent="0.2">
      <c r="A9" s="5" t="s">
        <v>3</v>
      </c>
      <c r="B9" s="42" t="s">
        <v>36</v>
      </c>
      <c r="C9" s="50">
        <v>13268002.939999999</v>
      </c>
      <c r="D9" s="48">
        <f t="shared" si="0"/>
        <v>8.6689112464381338E-2</v>
      </c>
      <c r="E9" s="17">
        <f>1690436.5/C9</f>
        <v>0.12740700372500821</v>
      </c>
      <c r="F9" s="18">
        <f>777239.75/C9</f>
        <v>5.8580010383989259E-2</v>
      </c>
      <c r="G9" s="18">
        <f>777239.75/C9</f>
        <v>5.8580010383989259E-2</v>
      </c>
      <c r="H9" s="18">
        <f>572353.75/C9</f>
        <v>4.3137897435527706E-2</v>
      </c>
      <c r="I9" s="18">
        <f>110000/C9</f>
        <v>8.2906222207997197E-3</v>
      </c>
      <c r="J9" s="18">
        <f>40000/C9</f>
        <v>3.0147717166544435E-3</v>
      </c>
      <c r="K9" s="9">
        <f>803196.78/C9</f>
        <v>6.0536373381298032E-2</v>
      </c>
    </row>
    <row r="10" spans="1:11" ht="25.5" x14ac:dyDescent="0.2">
      <c r="A10" s="5" t="s">
        <v>45</v>
      </c>
      <c r="B10" s="42" t="s">
        <v>47</v>
      </c>
      <c r="C10" s="50">
        <v>4225000</v>
      </c>
      <c r="D10" s="48">
        <f t="shared" si="0"/>
        <v>2.7604870289696454E-2</v>
      </c>
      <c r="E10" s="17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9">
        <v>0</v>
      </c>
    </row>
    <row r="11" spans="1:11" x14ac:dyDescent="0.2">
      <c r="A11" s="5" t="s">
        <v>4</v>
      </c>
      <c r="B11" s="42" t="s">
        <v>37</v>
      </c>
      <c r="C11" s="50">
        <v>8089571.2199999997</v>
      </c>
      <c r="D11" s="48">
        <f t="shared" si="0"/>
        <v>5.2854808101150647E-2</v>
      </c>
      <c r="E11" s="17">
        <f>7271370.2/C11</f>
        <v>0.89885730680296805</v>
      </c>
      <c r="F11" s="18">
        <f>5495988.89/C11</f>
        <v>0.67939186645791094</v>
      </c>
      <c r="G11" s="18">
        <f>7145370.22/C11</f>
        <v>0.88328170006518592</v>
      </c>
      <c r="H11" s="18">
        <f>1997943/C11</f>
        <v>0.24697761422267323</v>
      </c>
      <c r="I11" s="18">
        <f>81276/C11</f>
        <v>1.0047009636191819E-2</v>
      </c>
      <c r="J11" s="18">
        <f>1694044/C11</f>
        <v>0.20941085181520908</v>
      </c>
      <c r="K11" s="9">
        <f>2501802.69/C11</f>
        <v>0.3092627065096783</v>
      </c>
    </row>
    <row r="12" spans="1:11" ht="25.5" x14ac:dyDescent="0.2">
      <c r="A12" s="51" t="s">
        <v>0</v>
      </c>
      <c r="B12" s="42" t="s">
        <v>38</v>
      </c>
      <c r="C12" s="50">
        <v>6102450</v>
      </c>
      <c r="D12" s="48">
        <f t="shared" si="0"/>
        <v>3.9871559928842157E-2</v>
      </c>
      <c r="E12" s="17">
        <f>460450/C12</f>
        <v>7.5453301542822968E-2</v>
      </c>
      <c r="F12" s="18">
        <f>404000/C12</f>
        <v>6.6202918499946736E-2</v>
      </c>
      <c r="G12" s="18">
        <f>404000/C12</f>
        <v>6.6202918499946736E-2</v>
      </c>
      <c r="H12" s="18">
        <v>0</v>
      </c>
      <c r="I12" s="18">
        <v>0</v>
      </c>
      <c r="J12" s="18">
        <v>0</v>
      </c>
      <c r="K12" s="9">
        <f>460450/C12</f>
        <v>7.5453301542822968E-2</v>
      </c>
    </row>
    <row r="13" spans="1:11" ht="25.5" x14ac:dyDescent="0.2">
      <c r="A13" s="52" t="s">
        <v>40</v>
      </c>
      <c r="B13" s="54" t="s">
        <v>41</v>
      </c>
      <c r="C13" s="50">
        <v>14744894.310000001</v>
      </c>
      <c r="D13" s="48">
        <f t="shared" si="0"/>
        <v>9.6338673340315567E-2</v>
      </c>
      <c r="E13" s="60">
        <f>10558501.25/C13</f>
        <v>0.71607846268787534</v>
      </c>
      <c r="F13" s="57">
        <f>337973/C13</f>
        <v>2.292135792189344E-2</v>
      </c>
      <c r="G13" s="60">
        <f>337973/C13</f>
        <v>2.292135792189344E-2</v>
      </c>
      <c r="H13" s="57">
        <f>59000/C13</f>
        <v>4.0013850733393282E-3</v>
      </c>
      <c r="I13" s="57">
        <f>59000/C13</f>
        <v>4.0013850733393282E-3</v>
      </c>
      <c r="J13" s="57">
        <v>0</v>
      </c>
      <c r="K13" s="61">
        <f>5551751/C13</f>
        <v>0.37652023020841846</v>
      </c>
    </row>
    <row r="14" spans="1:11" ht="38.25" x14ac:dyDescent="0.2">
      <c r="A14" s="51" t="s">
        <v>1</v>
      </c>
      <c r="B14" s="42" t="s">
        <v>39</v>
      </c>
      <c r="C14" s="50">
        <v>3634325.88</v>
      </c>
      <c r="D14" s="48">
        <f t="shared" si="0"/>
        <v>2.3745584498908144E-2</v>
      </c>
      <c r="E14" s="17">
        <f>2891528/C14</f>
        <v>0.79561604970878397</v>
      </c>
      <c r="F14" s="18">
        <f>2484346/C14</f>
        <v>0.68357821561119891</v>
      </c>
      <c r="G14" s="18">
        <f>2484346/C14</f>
        <v>0.68357821561119891</v>
      </c>
      <c r="H14" s="18">
        <f>1890003.89/C14</f>
        <v>0.52004249272219916</v>
      </c>
      <c r="I14" s="18">
        <f>59000/C14</f>
        <v>1.6234097312154076E-2</v>
      </c>
      <c r="J14" s="18">
        <v>0</v>
      </c>
      <c r="K14" s="9">
        <f>471552/C14</f>
        <v>0.12974950941933694</v>
      </c>
    </row>
    <row r="15" spans="1:11" ht="25.5" x14ac:dyDescent="0.2">
      <c r="A15" s="52" t="s">
        <v>46</v>
      </c>
      <c r="B15" s="54" t="s">
        <v>48</v>
      </c>
      <c r="C15" s="50">
        <v>3524646.65</v>
      </c>
      <c r="D15" s="48">
        <f t="shared" si="0"/>
        <v>2.302897363083151E-2</v>
      </c>
      <c r="E15" s="17">
        <f>2963000/C16</f>
        <v>0.72240676481881982</v>
      </c>
      <c r="F15" s="18">
        <f>2480000/C15</f>
        <v>0.70361663062026381</v>
      </c>
      <c r="G15" s="18">
        <f>2560000/C15</f>
        <v>0.72631394128543358</v>
      </c>
      <c r="H15" s="18">
        <v>0</v>
      </c>
      <c r="I15" s="18">
        <v>0</v>
      </c>
      <c r="J15" s="18">
        <v>0</v>
      </c>
      <c r="K15" s="9">
        <f>533000/C15</f>
        <v>0.15122083230669378</v>
      </c>
    </row>
    <row r="16" spans="1:11" x14ac:dyDescent="0.2">
      <c r="A16" s="52" t="s">
        <v>5</v>
      </c>
      <c r="B16" s="42" t="s">
        <v>42</v>
      </c>
      <c r="C16" s="50">
        <v>4101567.35</v>
      </c>
      <c r="D16" s="48">
        <f t="shared" si="0"/>
        <v>2.6798398741113377E-2</v>
      </c>
      <c r="E16" s="60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61">
        <v>0</v>
      </c>
    </row>
    <row r="17" spans="1:11" ht="13.5" thickBot="1" x14ac:dyDescent="0.25">
      <c r="A17" s="62" t="s">
        <v>44</v>
      </c>
      <c r="B17" s="43"/>
      <c r="C17" s="64" t="s">
        <v>43</v>
      </c>
      <c r="D17" s="65"/>
      <c r="E17" s="65"/>
      <c r="F17" s="65"/>
      <c r="G17" s="65"/>
      <c r="H17" s="65"/>
      <c r="I17" s="65"/>
      <c r="J17" s="65"/>
      <c r="K17" s="66"/>
    </row>
    <row r="18" spans="1:11" x14ac:dyDescent="0.2">
      <c r="A18" s="1"/>
      <c r="B18" s="3"/>
      <c r="C18" s="2"/>
    </row>
    <row r="19" spans="1:11" x14ac:dyDescent="0.2">
      <c r="A19" s="1"/>
      <c r="B19" s="3"/>
      <c r="C19" s="2"/>
    </row>
    <row r="20" spans="1:11" x14ac:dyDescent="0.2">
      <c r="A20" s="1"/>
      <c r="B20" s="3"/>
      <c r="C20" s="2"/>
    </row>
    <row r="21" spans="1:11" x14ac:dyDescent="0.2">
      <c r="A21" s="1"/>
      <c r="B21" s="3"/>
      <c r="C21" s="2"/>
    </row>
    <row r="22" spans="1:11" x14ac:dyDescent="0.2">
      <c r="A22" s="1"/>
      <c r="B22" s="3"/>
      <c r="C22" s="2"/>
    </row>
    <row r="23" spans="1:11" x14ac:dyDescent="0.2">
      <c r="A23" s="1"/>
      <c r="B23" s="3"/>
      <c r="C23" s="2"/>
    </row>
    <row r="24" spans="1:11" x14ac:dyDescent="0.2">
      <c r="A24" s="1"/>
      <c r="B24" s="3"/>
      <c r="C24" s="2"/>
    </row>
    <row r="25" spans="1:11" x14ac:dyDescent="0.2">
      <c r="A25" s="1"/>
      <c r="B25" s="3"/>
      <c r="C25" s="2"/>
    </row>
    <row r="26" spans="1:11" x14ac:dyDescent="0.2">
      <c r="A26" s="1"/>
      <c r="B26" s="3"/>
      <c r="C26" s="2"/>
    </row>
    <row r="27" spans="1:11" x14ac:dyDescent="0.2">
      <c r="A27" s="1"/>
      <c r="B27" s="3"/>
      <c r="C27" s="2"/>
    </row>
    <row r="28" spans="1:11" x14ac:dyDescent="0.2">
      <c r="A28" s="1"/>
      <c r="B28" s="3"/>
      <c r="C28" s="2"/>
    </row>
    <row r="29" spans="1:11" x14ac:dyDescent="0.2">
      <c r="A29" s="1"/>
      <c r="B29" s="3"/>
      <c r="C29" s="2"/>
    </row>
    <row r="30" spans="1:11" x14ac:dyDescent="0.2">
      <c r="A30" s="1"/>
      <c r="B30" s="3"/>
      <c r="C30" s="2"/>
    </row>
    <row r="31" spans="1:11" x14ac:dyDescent="0.2">
      <c r="A31" s="1"/>
      <c r="B31" s="3"/>
      <c r="C31" s="2"/>
    </row>
    <row r="32" spans="1:11" x14ac:dyDescent="0.2">
      <c r="A32" s="1"/>
      <c r="B32" s="3"/>
      <c r="C32" s="2"/>
    </row>
    <row r="33" spans="1:3" x14ac:dyDescent="0.2">
      <c r="A33" s="1"/>
      <c r="B33" s="3"/>
      <c r="C33" s="2"/>
    </row>
    <row r="34" spans="1:3" x14ac:dyDescent="0.2">
      <c r="A34" s="1"/>
      <c r="B34" s="3"/>
      <c r="C34" s="2"/>
    </row>
    <row r="35" spans="1:3" x14ac:dyDescent="0.2">
      <c r="A35" s="1"/>
      <c r="B35" s="3"/>
      <c r="C35" s="2"/>
    </row>
    <row r="36" spans="1:3" x14ac:dyDescent="0.2">
      <c r="A36" s="1"/>
      <c r="B36" s="3"/>
      <c r="C36" s="2"/>
    </row>
    <row r="37" spans="1:3" x14ac:dyDescent="0.2">
      <c r="A37" s="1"/>
      <c r="B37" s="3"/>
      <c r="C37" s="2"/>
    </row>
    <row r="38" spans="1:3" x14ac:dyDescent="0.2">
      <c r="A38" s="1"/>
      <c r="B38" s="3"/>
      <c r="C38" s="2"/>
    </row>
    <row r="39" spans="1:3" x14ac:dyDescent="0.2">
      <c r="A39" s="1"/>
      <c r="B39" s="3"/>
      <c r="C39" s="2"/>
    </row>
    <row r="40" spans="1:3" x14ac:dyDescent="0.2">
      <c r="A40" s="1"/>
      <c r="B40" s="3"/>
      <c r="C40" s="2"/>
    </row>
    <row r="41" spans="1:3" x14ac:dyDescent="0.2">
      <c r="A41" s="1"/>
      <c r="B41" s="3"/>
      <c r="C41" s="2"/>
    </row>
    <row r="42" spans="1:3" x14ac:dyDescent="0.2">
      <c r="A42" s="1"/>
      <c r="B42" s="3"/>
      <c r="C42" s="2"/>
    </row>
    <row r="43" spans="1:3" x14ac:dyDescent="0.2">
      <c r="A43" s="1"/>
      <c r="B43" s="3"/>
      <c r="C43" s="2"/>
    </row>
    <row r="44" spans="1:3" x14ac:dyDescent="0.2">
      <c r="A44" s="1"/>
      <c r="B44" s="3"/>
      <c r="C44" s="2"/>
    </row>
    <row r="45" spans="1:3" x14ac:dyDescent="0.2">
      <c r="A45" s="1"/>
      <c r="B45" s="3"/>
      <c r="C45" s="2"/>
    </row>
    <row r="46" spans="1:3" x14ac:dyDescent="0.2">
      <c r="A46" s="1"/>
      <c r="B46" s="3"/>
      <c r="C46" s="2"/>
    </row>
    <row r="47" spans="1:3" x14ac:dyDescent="0.2">
      <c r="A47" s="1"/>
      <c r="B47" s="3"/>
      <c r="C47" s="2"/>
    </row>
    <row r="48" spans="1:3" x14ac:dyDescent="0.2">
      <c r="A48" s="1"/>
      <c r="B48" s="3"/>
      <c r="C48" s="2"/>
    </row>
    <row r="49" spans="1:3" x14ac:dyDescent="0.2">
      <c r="A49" s="1"/>
      <c r="B49" s="3"/>
      <c r="C49" s="2"/>
    </row>
    <row r="50" spans="1:3" x14ac:dyDescent="0.2">
      <c r="A50" s="1"/>
      <c r="B50" s="3"/>
      <c r="C50" s="2"/>
    </row>
    <row r="51" spans="1:3" x14ac:dyDescent="0.2">
      <c r="A51" s="1"/>
      <c r="B51" s="3"/>
      <c r="C51" s="2"/>
    </row>
    <row r="52" spans="1:3" x14ac:dyDescent="0.2">
      <c r="A52" s="1"/>
      <c r="B52" s="3"/>
      <c r="C52" s="2"/>
    </row>
    <row r="53" spans="1:3" x14ac:dyDescent="0.2">
      <c r="A53" s="1"/>
      <c r="B53" s="3"/>
      <c r="C53" s="2"/>
    </row>
    <row r="54" spans="1:3" x14ac:dyDescent="0.2">
      <c r="A54" s="1"/>
      <c r="B54" s="3"/>
      <c r="C54" s="2"/>
    </row>
    <row r="55" spans="1:3" x14ac:dyDescent="0.2">
      <c r="A55" s="1"/>
      <c r="B55" s="3"/>
      <c r="C55" s="2"/>
    </row>
    <row r="56" spans="1:3" x14ac:dyDescent="0.2">
      <c r="A56" s="1"/>
      <c r="B56" s="3"/>
      <c r="C56" s="2"/>
    </row>
    <row r="57" spans="1:3" x14ac:dyDescent="0.2">
      <c r="A57" s="1"/>
      <c r="B57" s="3"/>
      <c r="C57" s="2"/>
    </row>
    <row r="58" spans="1:3" x14ac:dyDescent="0.2">
      <c r="A58" s="1"/>
      <c r="B58" s="3"/>
      <c r="C58" s="2"/>
    </row>
    <row r="59" spans="1:3" x14ac:dyDescent="0.2">
      <c r="A59" s="1"/>
      <c r="B59" s="3"/>
      <c r="C59" s="2"/>
    </row>
    <row r="60" spans="1:3" x14ac:dyDescent="0.2">
      <c r="A60" s="1"/>
      <c r="B60" s="3"/>
      <c r="C60" s="2"/>
    </row>
    <row r="61" spans="1:3" x14ac:dyDescent="0.2">
      <c r="A61" s="1"/>
      <c r="B61" s="3"/>
      <c r="C61" s="2"/>
    </row>
    <row r="62" spans="1:3" x14ac:dyDescent="0.2">
      <c r="A62" s="1"/>
      <c r="B62" s="3"/>
      <c r="C62" s="2"/>
    </row>
    <row r="63" spans="1:3" x14ac:dyDescent="0.2">
      <c r="A63" s="1"/>
      <c r="B63" s="3"/>
      <c r="C63" s="2"/>
    </row>
    <row r="64" spans="1:3" x14ac:dyDescent="0.2">
      <c r="A64" s="1"/>
      <c r="B64" s="3"/>
      <c r="C64" s="2"/>
    </row>
    <row r="65" spans="1:3" x14ac:dyDescent="0.2">
      <c r="A65" s="1"/>
      <c r="B65" s="3"/>
      <c r="C65" s="2"/>
    </row>
    <row r="66" spans="1:3" x14ac:dyDescent="0.2">
      <c r="A66" s="1"/>
      <c r="B66" s="3"/>
      <c r="C66" s="2"/>
    </row>
    <row r="67" spans="1:3" x14ac:dyDescent="0.2">
      <c r="A67" s="1"/>
      <c r="B67" s="3"/>
      <c r="C67" s="2"/>
    </row>
    <row r="68" spans="1:3" x14ac:dyDescent="0.2">
      <c r="A68" s="1"/>
      <c r="B68" s="3"/>
      <c r="C68" s="2"/>
    </row>
    <row r="69" spans="1:3" x14ac:dyDescent="0.2">
      <c r="A69" s="1"/>
      <c r="B69" s="3"/>
      <c r="C69" s="2"/>
    </row>
    <row r="70" spans="1:3" x14ac:dyDescent="0.2">
      <c r="A70" s="1"/>
      <c r="B70" s="3"/>
      <c r="C70" s="2"/>
    </row>
    <row r="71" spans="1:3" x14ac:dyDescent="0.2">
      <c r="A71" s="1"/>
      <c r="B71" s="3"/>
      <c r="C71" s="2"/>
    </row>
    <row r="72" spans="1:3" x14ac:dyDescent="0.2">
      <c r="A72" s="1"/>
      <c r="B72" s="3"/>
      <c r="C72" s="2"/>
    </row>
    <row r="73" spans="1:3" x14ac:dyDescent="0.2">
      <c r="A73" s="1"/>
      <c r="B73" s="3"/>
      <c r="C73" s="2"/>
    </row>
    <row r="74" spans="1:3" x14ac:dyDescent="0.2">
      <c r="A74" s="1"/>
      <c r="B74" s="3"/>
      <c r="C74" s="2"/>
    </row>
    <row r="75" spans="1:3" x14ac:dyDescent="0.2">
      <c r="A75" s="1"/>
      <c r="B75" s="3"/>
      <c r="C75" s="2"/>
    </row>
    <row r="76" spans="1:3" x14ac:dyDescent="0.2">
      <c r="A76" s="1"/>
      <c r="B76" s="3"/>
      <c r="C76" s="2"/>
    </row>
    <row r="77" spans="1:3" x14ac:dyDescent="0.2">
      <c r="A77" s="1"/>
      <c r="B77" s="3"/>
      <c r="C77" s="2"/>
    </row>
    <row r="78" spans="1:3" x14ac:dyDescent="0.2">
      <c r="A78" s="1"/>
      <c r="B78" s="3"/>
      <c r="C78" s="2"/>
    </row>
    <row r="79" spans="1:3" x14ac:dyDescent="0.2">
      <c r="A79" s="1"/>
      <c r="B79" s="3"/>
      <c r="C79" s="2"/>
    </row>
    <row r="80" spans="1:3" x14ac:dyDescent="0.2">
      <c r="A80" s="1"/>
      <c r="B80" s="3"/>
      <c r="C80" s="2"/>
    </row>
    <row r="81" spans="1:3" x14ac:dyDescent="0.2">
      <c r="A81" s="1"/>
      <c r="B81" s="3"/>
      <c r="C81" s="2"/>
    </row>
    <row r="82" spans="1:3" x14ac:dyDescent="0.2">
      <c r="A82" s="1"/>
      <c r="B82" s="3"/>
      <c r="C82" s="2"/>
    </row>
    <row r="83" spans="1:3" x14ac:dyDescent="0.2">
      <c r="A83" s="1"/>
      <c r="B83" s="3"/>
      <c r="C83" s="2"/>
    </row>
    <row r="84" spans="1:3" x14ac:dyDescent="0.2">
      <c r="A84" s="1"/>
      <c r="B84" s="3"/>
      <c r="C84" s="2"/>
    </row>
    <row r="85" spans="1:3" x14ac:dyDescent="0.2">
      <c r="A85" s="1"/>
      <c r="B85" s="3"/>
      <c r="C85" s="2"/>
    </row>
    <row r="86" spans="1:3" x14ac:dyDescent="0.2">
      <c r="A86" s="1"/>
      <c r="B86" s="3"/>
      <c r="C86" s="2"/>
    </row>
    <row r="87" spans="1:3" x14ac:dyDescent="0.2">
      <c r="A87" s="1"/>
      <c r="B87" s="3"/>
      <c r="C87" s="2"/>
    </row>
    <row r="88" spans="1:3" x14ac:dyDescent="0.2">
      <c r="A88" s="1"/>
      <c r="B88" s="3"/>
      <c r="C88" s="2"/>
    </row>
    <row r="89" spans="1:3" x14ac:dyDescent="0.2">
      <c r="A89" s="1"/>
      <c r="B89" s="3"/>
      <c r="C89" s="2"/>
    </row>
    <row r="90" spans="1:3" x14ac:dyDescent="0.2">
      <c r="A90" s="1"/>
      <c r="B90" s="3"/>
      <c r="C90" s="2"/>
    </row>
    <row r="91" spans="1:3" x14ac:dyDescent="0.2">
      <c r="A91" s="1"/>
      <c r="B91" s="3"/>
      <c r="C91" s="2"/>
    </row>
    <row r="92" spans="1:3" x14ac:dyDescent="0.2">
      <c r="A92" s="1"/>
      <c r="B92" s="3"/>
      <c r="C92" s="2"/>
    </row>
    <row r="93" spans="1:3" x14ac:dyDescent="0.2">
      <c r="A93" s="1"/>
      <c r="B93" s="3"/>
      <c r="C93" s="2"/>
    </row>
    <row r="94" spans="1:3" x14ac:dyDescent="0.2">
      <c r="A94" s="1"/>
      <c r="B94" s="3"/>
      <c r="C94" s="2"/>
    </row>
    <row r="95" spans="1:3" x14ac:dyDescent="0.2">
      <c r="A95" s="1"/>
      <c r="B95" s="3"/>
      <c r="C95" s="2"/>
    </row>
    <row r="96" spans="1:3" x14ac:dyDescent="0.2">
      <c r="A96" s="1"/>
      <c r="B96" s="3"/>
      <c r="C96" s="2"/>
    </row>
    <row r="97" spans="1:3" x14ac:dyDescent="0.2">
      <c r="A97" s="1"/>
      <c r="B97" s="3"/>
      <c r="C97" s="2"/>
    </row>
    <row r="98" spans="1:3" x14ac:dyDescent="0.2">
      <c r="A98" s="1"/>
      <c r="B98" s="3"/>
      <c r="C98" s="2"/>
    </row>
    <row r="99" spans="1:3" x14ac:dyDescent="0.2">
      <c r="A99" s="1"/>
      <c r="B99" s="3"/>
      <c r="C99" s="2"/>
    </row>
    <row r="100" spans="1:3" x14ac:dyDescent="0.2">
      <c r="A100" s="1"/>
      <c r="B100" s="3"/>
      <c r="C100" s="2"/>
    </row>
    <row r="101" spans="1:3" x14ac:dyDescent="0.2">
      <c r="A101" s="1"/>
      <c r="B101" s="3"/>
      <c r="C101" s="2"/>
    </row>
    <row r="102" spans="1:3" x14ac:dyDescent="0.2">
      <c r="A102" s="1"/>
      <c r="B102" s="3"/>
      <c r="C102" s="2"/>
    </row>
    <row r="103" spans="1:3" x14ac:dyDescent="0.2">
      <c r="A103" s="1"/>
      <c r="B103" s="3"/>
      <c r="C103" s="2"/>
    </row>
    <row r="104" spans="1:3" x14ac:dyDescent="0.2">
      <c r="A104" s="1"/>
      <c r="B104" s="3"/>
      <c r="C104" s="2"/>
    </row>
    <row r="105" spans="1:3" x14ac:dyDescent="0.2">
      <c r="A105" s="1"/>
      <c r="B105" s="3"/>
      <c r="C105" s="2"/>
    </row>
    <row r="106" spans="1:3" x14ac:dyDescent="0.2">
      <c r="A106" s="1"/>
      <c r="B106" s="3"/>
      <c r="C106" s="2"/>
    </row>
    <row r="107" spans="1:3" x14ac:dyDescent="0.2">
      <c r="A107" s="1"/>
      <c r="B107" s="3"/>
      <c r="C107" s="2"/>
    </row>
    <row r="108" spans="1:3" x14ac:dyDescent="0.2">
      <c r="A108" s="1"/>
      <c r="B108" s="3"/>
      <c r="C108" s="2"/>
    </row>
    <row r="109" spans="1:3" x14ac:dyDescent="0.2">
      <c r="A109" s="1"/>
      <c r="B109" s="3"/>
      <c r="C109" s="2"/>
    </row>
    <row r="110" spans="1:3" x14ac:dyDescent="0.2">
      <c r="A110" s="1"/>
      <c r="B110" s="3"/>
      <c r="C110" s="2"/>
    </row>
    <row r="111" spans="1:3" x14ac:dyDescent="0.2">
      <c r="A111" s="1"/>
      <c r="B111" s="3"/>
      <c r="C111" s="2"/>
    </row>
    <row r="112" spans="1:3" x14ac:dyDescent="0.2">
      <c r="A112" s="1"/>
      <c r="B112" s="3"/>
      <c r="C112" s="2"/>
    </row>
    <row r="113" spans="1:3" x14ac:dyDescent="0.2">
      <c r="A113" s="1"/>
      <c r="B113" s="3"/>
      <c r="C113" s="2"/>
    </row>
    <row r="114" spans="1:3" x14ac:dyDescent="0.2">
      <c r="A114" s="1"/>
      <c r="B114" s="3"/>
      <c r="C114" s="2"/>
    </row>
    <row r="115" spans="1:3" x14ac:dyDescent="0.2">
      <c r="A115" s="1"/>
      <c r="B115" s="3"/>
      <c r="C115" s="2"/>
    </row>
    <row r="116" spans="1:3" x14ac:dyDescent="0.2">
      <c r="A116" s="1"/>
      <c r="B116" s="3"/>
      <c r="C116" s="2"/>
    </row>
    <row r="117" spans="1:3" x14ac:dyDescent="0.2">
      <c r="A117" s="1"/>
      <c r="B117" s="3"/>
      <c r="C117" s="2"/>
    </row>
  </sheetData>
  <sortState ref="A2:E110">
    <sortCondition descending="1" ref="C2:C110"/>
    <sortCondition ref="A2:A110"/>
  </sortState>
  <mergeCells count="5">
    <mergeCell ref="A4:B4"/>
    <mergeCell ref="E1:K1"/>
    <mergeCell ref="E2:K2"/>
    <mergeCell ref="A6:K6"/>
    <mergeCell ref="C17:K17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C: Inventory Summary - NRC FY 2013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Gladhill, Vicki</dc:creator>
  <cp:lastModifiedBy>Eminizer, David</cp:lastModifiedBy>
  <cp:lastPrinted>2013-12-16T20:35:43Z</cp:lastPrinted>
  <dcterms:created xsi:type="dcterms:W3CDTF">2010-11-24T14:49:02Z</dcterms:created>
  <dcterms:modified xsi:type="dcterms:W3CDTF">2014-04-02T16:35:03Z</dcterms:modified>
</cp:coreProperties>
</file>