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70" windowWidth="14940" windowHeight="9150"/>
  </bookViews>
  <sheets>
    <sheet name="Type, Competition, Time" sheetId="2" r:id="rId1"/>
    <sheet name="Small Business" sheetId="1" r:id="rId2"/>
  </sheets>
  <calcPr calcId="125725"/>
</workbook>
</file>

<file path=xl/calcChain.xml><?xml version="1.0" encoding="utf-8"?>
<calcChain xmlns="http://schemas.openxmlformats.org/spreadsheetml/2006/main">
  <c r="G6" i="1"/>
  <c r="F6"/>
  <c r="E6"/>
  <c r="D6"/>
  <c r="K5"/>
  <c r="J5"/>
  <c r="I5"/>
  <c r="H5"/>
  <c r="G5"/>
  <c r="F5"/>
  <c r="E5"/>
  <c r="D5"/>
  <c r="P6" i="2"/>
  <c r="O6"/>
  <c r="N6"/>
  <c r="M6"/>
  <c r="L6"/>
  <c r="K6"/>
  <c r="I6"/>
  <c r="H6"/>
  <c r="G6"/>
  <c r="E6"/>
  <c r="D6"/>
  <c r="P5"/>
  <c r="O5"/>
  <c r="N5"/>
  <c r="M5"/>
  <c r="L5"/>
  <c r="K5"/>
  <c r="J5"/>
  <c r="I5"/>
  <c r="H5"/>
  <c r="G5"/>
  <c r="F5"/>
  <c r="E5"/>
  <c r="D5"/>
  <c r="F19" i="1"/>
  <c r="F18"/>
  <c r="F14"/>
  <c r="F7"/>
  <c r="F12"/>
  <c r="F15"/>
  <c r="F10"/>
  <c r="G19"/>
  <c r="G18"/>
  <c r="G14"/>
  <c r="G7"/>
  <c r="G12"/>
  <c r="G15"/>
  <c r="G10"/>
  <c r="H19"/>
  <c r="H18"/>
  <c r="H14"/>
  <c r="H7"/>
  <c r="H12"/>
  <c r="H15"/>
  <c r="H10"/>
  <c r="I19"/>
  <c r="I18"/>
  <c r="I7"/>
  <c r="J18"/>
  <c r="J14"/>
  <c r="J10"/>
  <c r="K18"/>
  <c r="K14"/>
  <c r="K7"/>
  <c r="K12"/>
  <c r="K15"/>
  <c r="E19"/>
  <c r="E18"/>
  <c r="E14"/>
  <c r="E7"/>
  <c r="E12"/>
  <c r="E15"/>
  <c r="E10"/>
  <c r="D19"/>
  <c r="D18"/>
  <c r="D17"/>
  <c r="D16"/>
  <c r="D15"/>
  <c r="D14"/>
  <c r="D12"/>
  <c r="D10"/>
  <c r="D7"/>
  <c r="P17" i="2"/>
  <c r="P16"/>
  <c r="P19"/>
  <c r="P18"/>
  <c r="P14"/>
  <c r="P7"/>
  <c r="P12"/>
  <c r="P15"/>
  <c r="P10"/>
  <c r="O17"/>
  <c r="O16"/>
  <c r="O19"/>
  <c r="O18"/>
  <c r="O14"/>
  <c r="O7"/>
  <c r="O12"/>
  <c r="O15"/>
  <c r="O10"/>
  <c r="N19"/>
  <c r="N18"/>
  <c r="N14"/>
  <c r="N7"/>
  <c r="N12"/>
  <c r="N15"/>
  <c r="N10"/>
  <c r="M17"/>
  <c r="M16"/>
  <c r="M18"/>
  <c r="M14"/>
  <c r="M7"/>
  <c r="M12"/>
  <c r="M15"/>
  <c r="M10"/>
  <c r="K19"/>
  <c r="J19"/>
  <c r="I19"/>
  <c r="L18"/>
  <c r="K18"/>
  <c r="I18"/>
  <c r="L14"/>
  <c r="K14"/>
  <c r="J14"/>
  <c r="I14"/>
  <c r="K7"/>
  <c r="J7"/>
  <c r="I7"/>
  <c r="L12"/>
  <c r="K12"/>
  <c r="J12"/>
  <c r="I12"/>
  <c r="L15"/>
  <c r="K15"/>
  <c r="J15"/>
  <c r="I15"/>
  <c r="L10"/>
  <c r="K10"/>
  <c r="I10"/>
  <c r="G19"/>
  <c r="E19"/>
  <c r="G18"/>
  <c r="E18"/>
  <c r="G14"/>
  <c r="E14"/>
  <c r="F14"/>
  <c r="G7"/>
  <c r="E7"/>
  <c r="H12"/>
  <c r="G12"/>
  <c r="E12"/>
  <c r="G15"/>
  <c r="E15"/>
  <c r="G10"/>
  <c r="F10"/>
  <c r="E10"/>
  <c r="D19"/>
  <c r="D18"/>
  <c r="D17"/>
  <c r="D16"/>
  <c r="D15"/>
  <c r="D14"/>
  <c r="D12"/>
  <c r="D10"/>
  <c r="D7"/>
</calcChain>
</file>

<file path=xl/sharedStrings.xml><?xml version="1.0" encoding="utf-8"?>
<sst xmlns="http://schemas.openxmlformats.org/spreadsheetml/2006/main" count="91" uniqueCount="52">
  <si>
    <t>D301</t>
  </si>
  <si>
    <t>ADP FACILITY MANAGEMENT</t>
  </si>
  <si>
    <t>D302</t>
  </si>
  <si>
    <t>ADP SYSTEMS DEVELOPMENT SERVICES</t>
  </si>
  <si>
    <t>D313</t>
  </si>
  <si>
    <t>COMPUTER AIDED DESGN/MFG SVCS</t>
  </si>
  <si>
    <t>D399</t>
  </si>
  <si>
    <t>OTHER ADP &amp; TELECOMMUNICATIONS SVCS</t>
  </si>
  <si>
    <t>R408</t>
  </si>
  <si>
    <t>PROGRAM MANAGEMENT/SUPPORT SERVICES</t>
  </si>
  <si>
    <t>R421</t>
  </si>
  <si>
    <t>TECHNICAL ASSISTANCE</t>
  </si>
  <si>
    <t>R499</t>
  </si>
  <si>
    <t>OTHER PROFESSIONAL SERVICES</t>
  </si>
  <si>
    <t>R699</t>
  </si>
  <si>
    <t>OTHER ADMINISTRATIVE SUPPORT SVCS</t>
  </si>
  <si>
    <t>R799</t>
  </si>
  <si>
    <t>OTHER MANAGEMENT SUPPORT SERVICES</t>
  </si>
  <si>
    <t>S112</t>
  </si>
  <si>
    <t>ELECTRIC SERVICES</t>
  </si>
  <si>
    <t>S206</t>
  </si>
  <si>
    <t>GUARD SERVICES</t>
  </si>
  <si>
    <t>Biggest Percentage of Obligations</t>
  </si>
  <si>
    <t>Obligations</t>
  </si>
  <si>
    <t>Small Business</t>
  </si>
  <si>
    <t>SDB</t>
  </si>
  <si>
    <t>VOSB</t>
  </si>
  <si>
    <t>SDBVOSB</t>
  </si>
  <si>
    <t>HUBZone</t>
  </si>
  <si>
    <t>WOSB</t>
  </si>
  <si>
    <t>Special Interest Functions</t>
  </si>
  <si>
    <t>% Total Obligations</t>
  </si>
  <si>
    <t>8(a) Program</t>
  </si>
  <si>
    <t>Fixed Price</t>
  </si>
  <si>
    <t>Cost</t>
  </si>
  <si>
    <t>T&amp;M/LH</t>
  </si>
  <si>
    <t>Other</t>
  </si>
  <si>
    <t>Competed</t>
  </si>
  <si>
    <t>Not Competed</t>
  </si>
  <si>
    <t>Not Avaiable for Comp.</t>
  </si>
  <si>
    <t>blank</t>
  </si>
  <si>
    <t>Q1</t>
  </si>
  <si>
    <t>Q2</t>
  </si>
  <si>
    <t>Q3</t>
  </si>
  <si>
    <t>Q4</t>
  </si>
  <si>
    <t>Contract Type Analysis</t>
  </si>
  <si>
    <t>(as % of PSC Obligations)</t>
  </si>
  <si>
    <t>Competition Analysis</t>
  </si>
  <si>
    <t>(as a % of PSC Obligations)</t>
  </si>
  <si>
    <t>Time of Obligation Analysis</t>
  </si>
  <si>
    <t>Small Business Analysis</t>
  </si>
  <si>
    <t>See Above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</si>
</sst>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"/>
    <numFmt numFmtId="166" formatCode="0.0%"/>
  </numFmts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164" fontId="3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right"/>
    </xf>
    <xf numFmtId="165" fontId="0" fillId="0" borderId="0" xfId="0" applyNumberFormat="1"/>
    <xf numFmtId="165" fontId="3" fillId="0" borderId="0" xfId="0" applyNumberFormat="1" applyFont="1" applyAlignment="1">
      <alignment horizontal="right"/>
    </xf>
    <xf numFmtId="166" fontId="0" fillId="0" borderId="0" xfId="0" applyNumberFormat="1"/>
    <xf numFmtId="165" fontId="3" fillId="0" borderId="5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6" fontId="0" fillId="0" borderId="6" xfId="0" applyNumberFormat="1" applyBorder="1"/>
    <xf numFmtId="0" fontId="1" fillId="0" borderId="6" xfId="0" applyFont="1" applyBorder="1" applyAlignment="1">
      <alignment wrapText="1"/>
    </xf>
    <xf numFmtId="0" fontId="0" fillId="0" borderId="6" xfId="0" applyBorder="1"/>
    <xf numFmtId="165" fontId="0" fillId="0" borderId="5" xfId="0" applyNumberFormat="1" applyBorder="1" applyAlignment="1">
      <alignment wrapText="1"/>
    </xf>
    <xf numFmtId="165" fontId="0" fillId="0" borderId="5" xfId="0" applyNumberFormat="1" applyBorder="1"/>
    <xf numFmtId="0" fontId="0" fillId="0" borderId="5" xfId="0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1" xfId="0" applyBorder="1"/>
    <xf numFmtId="166" fontId="0" fillId="0" borderId="11" xfId="0" applyNumberFormat="1" applyBorder="1"/>
    <xf numFmtId="166" fontId="1" fillId="0" borderId="4" xfId="0" applyNumberFormat="1" applyFont="1" applyBorder="1" applyAlignment="1">
      <alignment wrapText="1"/>
    </xf>
    <xf numFmtId="166" fontId="1" fillId="0" borderId="5" xfId="0" applyNumberFormat="1" applyFon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66" fontId="0" fillId="0" borderId="4" xfId="0" applyNumberFormat="1" applyBorder="1"/>
    <xf numFmtId="166" fontId="0" fillId="0" borderId="5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1" fillId="0" borderId="4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 wrapText="1"/>
    </xf>
    <xf numFmtId="0" fontId="0" fillId="0" borderId="10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66" fontId="0" fillId="0" borderId="12" xfId="0" applyNumberFormat="1" applyBorder="1"/>
    <xf numFmtId="0" fontId="0" fillId="0" borderId="17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3" xfId="0" applyBorder="1"/>
    <xf numFmtId="0" fontId="0" fillId="0" borderId="19" xfId="0" applyBorder="1" applyAlignment="1">
      <alignment wrapText="1"/>
    </xf>
    <xf numFmtId="165" fontId="0" fillId="0" borderId="19" xfId="0" applyNumberFormat="1" applyBorder="1"/>
    <xf numFmtId="0" fontId="0" fillId="0" borderId="19" xfId="0" applyBorder="1"/>
    <xf numFmtId="166" fontId="0" fillId="0" borderId="19" xfId="0" applyNumberFormat="1" applyBorder="1"/>
    <xf numFmtId="166" fontId="0" fillId="0" borderId="13" xfId="0" applyNumberFormat="1" applyBorder="1"/>
    <xf numFmtId="165" fontId="1" fillId="3" borderId="11" xfId="0" applyNumberFormat="1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5" xfId="0" applyBorder="1" applyAlignment="1"/>
    <xf numFmtId="0" fontId="0" fillId="2" borderId="18" xfId="0" applyFill="1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166" fontId="1" fillId="0" borderId="1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4" fontId="1" fillId="4" borderId="11" xfId="0" applyNumberFormat="1" applyFont="1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tabSelected="1" workbookViewId="0"/>
  </sheetViews>
  <sheetFormatPr defaultRowHeight="12.75"/>
  <cols>
    <col min="1" max="1" width="5.85546875" bestFit="1" customWidth="1"/>
    <col min="2" max="2" width="37" style="4" bestFit="1" customWidth="1"/>
    <col min="3" max="3" width="16.85546875" style="11" customWidth="1"/>
    <col min="4" max="4" width="10.28515625" customWidth="1"/>
    <col min="5" max="8" width="9.140625" style="13" customWidth="1"/>
    <col min="9" max="9" width="10.42578125" style="13" customWidth="1"/>
    <col min="10" max="16" width="9.140625" style="13"/>
  </cols>
  <sheetData>
    <row r="1" spans="1:16">
      <c r="E1" s="63" t="s">
        <v>45</v>
      </c>
      <c r="F1" s="64"/>
      <c r="G1" s="64"/>
      <c r="H1" s="65"/>
      <c r="I1" s="63" t="s">
        <v>47</v>
      </c>
      <c r="J1" s="64"/>
      <c r="K1" s="64"/>
      <c r="L1" s="65"/>
      <c r="M1" s="63" t="s">
        <v>49</v>
      </c>
      <c r="N1" s="64"/>
      <c r="O1" s="64"/>
      <c r="P1" s="65"/>
    </row>
    <row r="2" spans="1:16">
      <c r="E2" s="66" t="s">
        <v>46</v>
      </c>
      <c r="F2" s="67"/>
      <c r="G2" s="67"/>
      <c r="H2" s="68"/>
      <c r="I2" s="66" t="s">
        <v>48</v>
      </c>
      <c r="J2" s="67"/>
      <c r="K2" s="67"/>
      <c r="L2" s="68"/>
      <c r="M2" s="66" t="s">
        <v>46</v>
      </c>
      <c r="N2" s="67"/>
      <c r="O2" s="67"/>
      <c r="P2" s="68"/>
    </row>
    <row r="3" spans="1:16" s="4" customFormat="1" ht="38.25">
      <c r="A3" s="21"/>
      <c r="B3" s="21"/>
      <c r="C3" s="19" t="s">
        <v>23</v>
      </c>
      <c r="D3" s="24" t="s">
        <v>31</v>
      </c>
      <c r="E3" s="27" t="s">
        <v>33</v>
      </c>
      <c r="F3" s="28" t="s">
        <v>34</v>
      </c>
      <c r="G3" s="28" t="s">
        <v>35</v>
      </c>
      <c r="H3" s="29" t="s">
        <v>36</v>
      </c>
      <c r="I3" s="27" t="s">
        <v>37</v>
      </c>
      <c r="J3" s="28" t="s">
        <v>38</v>
      </c>
      <c r="K3" s="28" t="s">
        <v>39</v>
      </c>
      <c r="L3" s="29" t="s">
        <v>40</v>
      </c>
      <c r="M3" s="35" t="s">
        <v>41</v>
      </c>
      <c r="N3" s="36" t="s">
        <v>42</v>
      </c>
      <c r="O3" s="36" t="s">
        <v>43</v>
      </c>
      <c r="P3" s="37" t="s">
        <v>44</v>
      </c>
    </row>
    <row r="4" spans="1:16">
      <c r="A4" s="59" t="s">
        <v>30</v>
      </c>
      <c r="B4" s="59"/>
      <c r="C4" s="20"/>
      <c r="D4" s="25"/>
      <c r="E4" s="30"/>
      <c r="F4" s="31"/>
      <c r="G4" s="31"/>
      <c r="H4" s="16"/>
      <c r="I4" s="30"/>
      <c r="J4" s="31"/>
      <c r="K4" s="31"/>
      <c r="L4" s="16"/>
      <c r="M4" s="30"/>
      <c r="N4" s="31"/>
      <c r="O4" s="31"/>
      <c r="P4" s="16"/>
    </row>
    <row r="5" spans="1:16">
      <c r="A5" s="5" t="s">
        <v>10</v>
      </c>
      <c r="B5" s="6" t="s">
        <v>11</v>
      </c>
      <c r="C5" s="14">
        <v>29723743.620000001</v>
      </c>
      <c r="D5" s="16">
        <f t="shared" ref="D5:D6" si="0">C5/199725503</f>
        <v>0.14882297540139378</v>
      </c>
      <c r="E5" s="30">
        <f>1056780/C5</f>
        <v>3.5553395073995055E-2</v>
      </c>
      <c r="F5" s="31">
        <f>(104201+14286903+8099475)/C5</f>
        <v>0.75665364657724088</v>
      </c>
      <c r="G5" s="31">
        <f>(4127213+860392)/C5</f>
        <v>0.16779868188083907</v>
      </c>
      <c r="H5" s="16">
        <f>1188780/C5</f>
        <v>3.9994289252317267E-2</v>
      </c>
      <c r="I5" s="30">
        <f>(434321+632746+36617+50000+3053175+638993+750000+500000)/C5</f>
        <v>0.2050835883235895</v>
      </c>
      <c r="J5" s="31">
        <f>(14286903+150000+4269721+110726)/C5</f>
        <v>0.63307469747311729</v>
      </c>
      <c r="K5" s="31">
        <f>2211846/C5</f>
        <v>7.4413439581403576E-2</v>
      </c>
      <c r="L5" s="16">
        <f>1902695/C5</f>
        <v>6.4012629913808947E-2</v>
      </c>
      <c r="M5" s="30">
        <f>3856476/C5</f>
        <v>0.12974395316090404</v>
      </c>
      <c r="N5" s="31">
        <f>3301231/C5</f>
        <v>0.11106376916058193</v>
      </c>
      <c r="O5" s="31">
        <f>14724608/C5</f>
        <v>0.49538201473694449</v>
      </c>
      <c r="P5" s="16">
        <f>7841429/C5</f>
        <v>0.26381027572596188</v>
      </c>
    </row>
    <row r="6" spans="1:16" ht="25.5">
      <c r="A6" s="5" t="s">
        <v>2</v>
      </c>
      <c r="B6" s="6" t="s">
        <v>3</v>
      </c>
      <c r="C6" s="14">
        <v>12368343.060000001</v>
      </c>
      <c r="D6" s="16">
        <f t="shared" si="0"/>
        <v>6.1926708778898408E-2</v>
      </c>
      <c r="E6" s="30">
        <f>(279870/C6)</f>
        <v>2.2627929920954179E-2</v>
      </c>
      <c r="F6" s="31">
        <v>0</v>
      </c>
      <c r="G6" s="31">
        <f>(8585473+1998000)/C6</f>
        <v>0.85569044686572593</v>
      </c>
      <c r="H6" s="16">
        <f>1505000/C6</f>
        <v>0.12168161836222546</v>
      </c>
      <c r="I6" s="30">
        <f>(8308418+904800+279870+1505000)/C6</f>
        <v>0.88921272207984825</v>
      </c>
      <c r="J6" s="31">
        <v>0</v>
      </c>
      <c r="K6" s="31">
        <f>50000/C6</f>
        <v>4.042578683130414E-3</v>
      </c>
      <c r="L6" s="16">
        <f>1320255/C6</f>
        <v>0.1067446943859269</v>
      </c>
      <c r="M6" s="30">
        <f>3905442/C6</f>
        <v>0.31576113154804425</v>
      </c>
      <c r="N6" s="31">
        <f>4108841/C6</f>
        <v>0.3322062607794451</v>
      </c>
      <c r="O6" s="31">
        <f>4028207/C6</f>
        <v>0.32568687498873433</v>
      </c>
      <c r="P6" s="16">
        <f>325853/C6</f>
        <v>2.6345727832681898E-2</v>
      </c>
    </row>
    <row r="7" spans="1:16" ht="25.5">
      <c r="A7" s="22" t="s">
        <v>8</v>
      </c>
      <c r="B7" s="23" t="s">
        <v>9</v>
      </c>
      <c r="C7" s="20">
        <v>2924035.29</v>
      </c>
      <c r="D7" s="26">
        <f t="shared" ref="D7" si="1">C7/199725503</f>
        <v>1.4640270000972285E-2</v>
      </c>
      <c r="E7" s="30">
        <f>165483/C7</f>
        <v>5.6594050203819531E-2</v>
      </c>
      <c r="F7" s="31">
        <v>0</v>
      </c>
      <c r="G7" s="31">
        <f>(706588+2059975)/C7</f>
        <v>0.94614555763449759</v>
      </c>
      <c r="H7" s="16"/>
      <c r="I7" s="30">
        <f>(94308+450000+58240+2000000)/C7</f>
        <v>0.89005355335502812</v>
      </c>
      <c r="J7" s="31">
        <f>29250/C7</f>
        <v>1.0003299241986919E-2</v>
      </c>
      <c r="K7" s="31">
        <f>363975/C7</f>
        <v>0.12447695184964748</v>
      </c>
      <c r="L7" s="16">
        <v>0</v>
      </c>
      <c r="M7" s="30">
        <f>2141000/C7</f>
        <v>0.7322073051997946</v>
      </c>
      <c r="N7" s="31">
        <f>139478/C7</f>
        <v>4.7700518689704326E-2</v>
      </c>
      <c r="O7" s="31">
        <f>426999/C7</f>
        <v>0.14603072728304861</v>
      </c>
      <c r="P7" s="16">
        <f>216558/C7</f>
        <v>7.4061349649442845E-2</v>
      </c>
    </row>
    <row r="8" spans="1:16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</row>
    <row r="9" spans="1:16">
      <c r="A9" s="47" t="s">
        <v>22</v>
      </c>
      <c r="B9" s="51"/>
      <c r="C9" s="52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>
      <c r="A10" s="5" t="s">
        <v>0</v>
      </c>
      <c r="B10" s="6" t="s">
        <v>1</v>
      </c>
      <c r="C10" s="14">
        <v>37301146.780000001</v>
      </c>
      <c r="D10" s="16">
        <f t="shared" ref="D10:D19" si="2">C10/199725503</f>
        <v>0.18676206202870346</v>
      </c>
      <c r="E10" s="30">
        <f>22383750/C10</f>
        <v>0.6000820868060186</v>
      </c>
      <c r="F10" s="31">
        <f>0</f>
        <v>0</v>
      </c>
      <c r="G10" s="31">
        <f>(14637834+279563)/C10</f>
        <v>0.39991791909192342</v>
      </c>
      <c r="H10" s="16">
        <v>0</v>
      </c>
      <c r="I10" s="30">
        <f>(1006000+318326)/C10</f>
        <v>3.5503626947739647E-2</v>
      </c>
      <c r="J10" s="31">
        <v>0</v>
      </c>
      <c r="K10" s="31">
        <f>273417/C10</f>
        <v>7.3299891183667247E-3</v>
      </c>
      <c r="L10" s="16">
        <f>35697077/C10</f>
        <v>0.95699677038186759</v>
      </c>
      <c r="M10" s="30">
        <f>11213985/C10</f>
        <v>0.30063378657335743</v>
      </c>
      <c r="N10" s="31">
        <f>4252225/C10</f>
        <v>0.11399716542441379</v>
      </c>
      <c r="O10" s="31">
        <f>9423424/C10</f>
        <v>0.25263094605586278</v>
      </c>
      <c r="P10" s="16">
        <f>12411513/C10</f>
        <v>0.33273810784430791</v>
      </c>
    </row>
    <row r="11" spans="1:16">
      <c r="A11" s="5" t="s">
        <v>10</v>
      </c>
      <c r="B11" s="6" t="s">
        <v>11</v>
      </c>
      <c r="C11" s="56" t="s">
        <v>51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1:16" ht="25.5">
      <c r="A12" s="5" t="s">
        <v>6</v>
      </c>
      <c r="B12" s="6" t="s">
        <v>7</v>
      </c>
      <c r="C12" s="14">
        <v>17106341.98</v>
      </c>
      <c r="D12" s="16">
        <f t="shared" si="2"/>
        <v>8.5649262227668541E-2</v>
      </c>
      <c r="E12" s="30">
        <f>8130693/C12</f>
        <v>0.47530284437818771</v>
      </c>
      <c r="F12" s="31">
        <v>0</v>
      </c>
      <c r="G12" s="31">
        <f>(2352677+5812763)/C12</f>
        <v>0.47733407934593386</v>
      </c>
      <c r="H12" s="16">
        <f>810208/C12</f>
        <v>4.7363018987183841E-2</v>
      </c>
      <c r="I12" s="30">
        <f>(554840+2531513+4426444+155760+5601075)/C12</f>
        <v>0.77571417755556871</v>
      </c>
      <c r="J12" s="31">
        <f>(920000+199453)/C12</f>
        <v>6.5440817289214512E-2</v>
      </c>
      <c r="K12" s="31">
        <f>1830423/C12</f>
        <v>0.10700259600445565</v>
      </c>
      <c r="L12" s="16">
        <f>927806/C12</f>
        <v>5.4237545413551941E-2</v>
      </c>
      <c r="M12" s="30">
        <f>3907695/C12</f>
        <v>0.22843545420573896</v>
      </c>
      <c r="N12" s="31">
        <f>2084878/C12</f>
        <v>0.1218774886201591</v>
      </c>
      <c r="O12" s="31">
        <f>7119926/C12</f>
        <v>0.41621557714234353</v>
      </c>
      <c r="P12" s="16">
        <f>3993843/C12</f>
        <v>0.2334714812009154</v>
      </c>
    </row>
    <row r="13" spans="1:16" ht="25.5">
      <c r="A13" s="5" t="s">
        <v>2</v>
      </c>
      <c r="B13" s="6" t="s">
        <v>3</v>
      </c>
      <c r="C13" s="56" t="s">
        <v>51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>
      <c r="A14" s="5" t="s">
        <v>12</v>
      </c>
      <c r="B14" s="6" t="s">
        <v>13</v>
      </c>
      <c r="C14" s="14">
        <v>6891441.7199999997</v>
      </c>
      <c r="D14" s="16">
        <f t="shared" si="2"/>
        <v>3.4504565598715752E-2</v>
      </c>
      <c r="E14" s="30">
        <f>1007147/C14</f>
        <v>0.14614460092974565</v>
      </c>
      <c r="F14" s="31">
        <f>(776856+1411144)/C14</f>
        <v>0.31749524829472114</v>
      </c>
      <c r="G14" s="31">
        <f>(2614610+1083840)/C14</f>
        <v>0.53667289810585528</v>
      </c>
      <c r="H14" s="16">
        <v>0</v>
      </c>
      <c r="I14" s="30">
        <f>(1985154+1635657+92361+44590)/C14</f>
        <v>0.54527951518394324</v>
      </c>
      <c r="J14" s="31">
        <f>(1016648+150000+643606+68360)/C14</f>
        <v>0.27260101388479857</v>
      </c>
      <c r="K14" s="31">
        <f>477431/C14</f>
        <v>6.9278827188572673E-2</v>
      </c>
      <c r="L14" s="16">
        <f>785179/C14</f>
        <v>0.11393537548482671</v>
      </c>
      <c r="M14" s="30">
        <f>1600796/C14</f>
        <v>0.2322875335873841</v>
      </c>
      <c r="N14" s="31">
        <f>1040652/C14</f>
        <v>0.15100642830365546</v>
      </c>
      <c r="O14" s="31">
        <f>1865857/C14</f>
        <v>0.27074987728402355</v>
      </c>
      <c r="P14" s="16">
        <f>2384136/C14</f>
        <v>0.34595605634752435</v>
      </c>
    </row>
    <row r="15" spans="1:16">
      <c r="A15" s="5" t="s">
        <v>4</v>
      </c>
      <c r="B15" s="6" t="s">
        <v>5</v>
      </c>
      <c r="C15" s="14">
        <v>6068693.0599999996</v>
      </c>
      <c r="D15" s="16">
        <f t="shared" si="2"/>
        <v>3.0385168487972212E-2</v>
      </c>
      <c r="E15" s="30">
        <f>5717625/C15</f>
        <v>0.94215096124831865</v>
      </c>
      <c r="F15" s="31">
        <v>0</v>
      </c>
      <c r="G15" s="31">
        <f>336068/C15</f>
        <v>5.5377326992378823E-2</v>
      </c>
      <c r="H15" s="16">
        <v>0</v>
      </c>
      <c r="I15" s="30">
        <f>(119125+320312+1735997+2584736+262267)/C15</f>
        <v>0.82759779582591053</v>
      </c>
      <c r="J15" s="31">
        <f>(464300+29438)/C15</f>
        <v>8.1358209274798948E-2</v>
      </c>
      <c r="K15" s="31">
        <f>179531/C15</f>
        <v>2.9583140591394486E-2</v>
      </c>
      <c r="L15" s="16">
        <f>29438/C15</f>
        <v>4.8507973148340447E-3</v>
      </c>
      <c r="M15" s="30">
        <f>776560/C15</f>
        <v>0.12796165374031951</v>
      </c>
      <c r="N15" s="31">
        <f>757684/C15</f>
        <v>0.12485126410397168</v>
      </c>
      <c r="O15" s="31">
        <f>1200423/C15</f>
        <v>0.19780585179241214</v>
      </c>
      <c r="P15" s="16">
        <f>3334026/C15</f>
        <v>0.5493812204764893</v>
      </c>
    </row>
    <row r="16" spans="1:16">
      <c r="A16" s="5" t="s">
        <v>18</v>
      </c>
      <c r="B16" s="6" t="s">
        <v>19</v>
      </c>
      <c r="C16" s="14">
        <v>6050000</v>
      </c>
      <c r="D16" s="16">
        <f t="shared" si="2"/>
        <v>3.0291574731945974E-2</v>
      </c>
      <c r="E16" s="30">
        <v>1</v>
      </c>
      <c r="F16" s="31">
        <v>0</v>
      </c>
      <c r="G16" s="31">
        <v>0</v>
      </c>
      <c r="H16" s="16">
        <v>0</v>
      </c>
      <c r="I16" s="30">
        <v>0</v>
      </c>
      <c r="J16" s="31">
        <v>1</v>
      </c>
      <c r="K16" s="31">
        <v>0</v>
      </c>
      <c r="L16" s="16">
        <v>0</v>
      </c>
      <c r="M16" s="30">
        <f>1100000/C16</f>
        <v>0.18181818181818182</v>
      </c>
      <c r="N16" s="31">
        <v>0</v>
      </c>
      <c r="O16" s="31">
        <f>3950000/C15</f>
        <v>0.65088149309037557</v>
      </c>
      <c r="P16" s="16">
        <f>1000000/C16</f>
        <v>0.16528925619834711</v>
      </c>
    </row>
    <row r="17" spans="1:16">
      <c r="A17" s="5" t="s">
        <v>20</v>
      </c>
      <c r="B17" s="6" t="s">
        <v>21</v>
      </c>
      <c r="C17" s="14">
        <v>5958588</v>
      </c>
      <c r="D17" s="16">
        <f t="shared" si="2"/>
        <v>2.9833886561797768E-2</v>
      </c>
      <c r="E17" s="30">
        <v>1</v>
      </c>
      <c r="F17" s="31">
        <v>0</v>
      </c>
      <c r="G17" s="31">
        <v>0</v>
      </c>
      <c r="H17" s="16">
        <v>0</v>
      </c>
      <c r="I17" s="30">
        <v>1</v>
      </c>
      <c r="J17" s="31">
        <v>0</v>
      </c>
      <c r="K17" s="31">
        <v>0</v>
      </c>
      <c r="L17" s="16">
        <v>0</v>
      </c>
      <c r="M17" s="30">
        <f>2964338/C17</f>
        <v>0.4974900093780607</v>
      </c>
      <c r="N17" s="31">
        <v>0</v>
      </c>
      <c r="O17" s="31">
        <f>2964338/C17</f>
        <v>0.4974900093780607</v>
      </c>
      <c r="P17" s="16">
        <f>29912/C17</f>
        <v>5.0199812438785837E-3</v>
      </c>
    </row>
    <row r="18" spans="1:16" ht="25.5">
      <c r="A18" s="5" t="s">
        <v>14</v>
      </c>
      <c r="B18" s="6" t="s">
        <v>15</v>
      </c>
      <c r="C18" s="14">
        <v>5382150.29</v>
      </c>
      <c r="D18" s="16">
        <f t="shared" si="2"/>
        <v>2.6947736814561935E-2</v>
      </c>
      <c r="E18" s="30">
        <f>4983075/C18</f>
        <v>0.92585207240654743</v>
      </c>
      <c r="F18" s="31">
        <v>0</v>
      </c>
      <c r="G18" s="31">
        <f>400717/C18</f>
        <v>7.4452956236567669E-2</v>
      </c>
      <c r="H18" s="16">
        <v>0</v>
      </c>
      <c r="I18" s="30">
        <f>(310000+103488+3637929)/C18</f>
        <v>0.75275062599561859</v>
      </c>
      <c r="J18" s="31">
        <v>0</v>
      </c>
      <c r="K18" s="31">
        <f>1050156/C18</f>
        <v>0.19511829722614454</v>
      </c>
      <c r="L18" s="16">
        <f>290122/C18</f>
        <v>5.3904477646981502E-2</v>
      </c>
      <c r="M18" s="30">
        <f>698118/C18</f>
        <v>0.12970986731773335</v>
      </c>
      <c r="N18" s="31">
        <f>2549757/C18</f>
        <v>0.47374318118493119</v>
      </c>
      <c r="O18" s="31">
        <f>485214/C18</f>
        <v>9.015244351342705E-2</v>
      </c>
      <c r="P18" s="16">
        <f>1649061/C18</f>
        <v>0.30639445410209831</v>
      </c>
    </row>
    <row r="19" spans="1:16" ht="26.25" thickBot="1">
      <c r="A19" s="8" t="s">
        <v>16</v>
      </c>
      <c r="B19" s="9" t="s">
        <v>17</v>
      </c>
      <c r="C19" s="15">
        <v>3982798.6</v>
      </c>
      <c r="D19" s="34">
        <f t="shared" si="2"/>
        <v>1.994136222052724E-2</v>
      </c>
      <c r="E19" s="32">
        <f>3259725/C19</f>
        <v>0.8184508752212577</v>
      </c>
      <c r="F19" s="33">
        <v>0</v>
      </c>
      <c r="G19" s="33">
        <f>723074/C19</f>
        <v>0.18154922521063455</v>
      </c>
      <c r="H19" s="34">
        <v>0</v>
      </c>
      <c r="I19" s="32">
        <f>(141192+44791+963676+177912+30888+342418+41736+808602)/C19</f>
        <v>0.6405583752088293</v>
      </c>
      <c r="J19" s="33">
        <f>574358/C19</f>
        <v>0.14420965197687877</v>
      </c>
      <c r="K19" s="33">
        <f>832895/C19</f>
        <v>0.20912305231803585</v>
      </c>
      <c r="L19" s="34">
        <v>0</v>
      </c>
      <c r="M19" s="32">
        <v>0</v>
      </c>
      <c r="N19" s="33">
        <f>1663450/C19</f>
        <v>0.41765857806618689</v>
      </c>
      <c r="O19" s="33">
        <f>290311/C19</f>
        <v>7.2891207705054431E-2</v>
      </c>
      <c r="P19" s="34">
        <f>2017521/C19</f>
        <v>0.50655862940194862</v>
      </c>
    </row>
    <row r="20" spans="1:16">
      <c r="A20" s="1"/>
      <c r="B20" s="3"/>
      <c r="C20" s="12"/>
    </row>
    <row r="21" spans="1:16">
      <c r="A21" s="1"/>
      <c r="B21" s="3"/>
      <c r="C21" s="12"/>
    </row>
    <row r="22" spans="1:16">
      <c r="A22" s="1"/>
      <c r="B22" s="3"/>
      <c r="C22" s="12"/>
    </row>
    <row r="23" spans="1:16">
      <c r="A23" s="1"/>
      <c r="B23" s="3"/>
      <c r="C23" s="12"/>
    </row>
    <row r="24" spans="1:16">
      <c r="A24" s="1"/>
      <c r="B24" s="3"/>
      <c r="C24" s="12"/>
    </row>
    <row r="25" spans="1:16">
      <c r="A25" s="1"/>
      <c r="B25" s="3"/>
      <c r="C25" s="12"/>
    </row>
    <row r="26" spans="1:16">
      <c r="A26" s="1"/>
      <c r="B26" s="3"/>
      <c r="C26" s="12"/>
    </row>
    <row r="27" spans="1:16">
      <c r="A27" s="1"/>
      <c r="B27" s="3"/>
      <c r="C27" s="12"/>
    </row>
    <row r="28" spans="1:16">
      <c r="A28" s="1"/>
      <c r="B28" s="3"/>
      <c r="C28" s="12"/>
    </row>
    <row r="29" spans="1:16">
      <c r="A29" s="1"/>
      <c r="B29" s="3"/>
      <c r="C29" s="12"/>
    </row>
    <row r="30" spans="1:16">
      <c r="A30" s="1"/>
      <c r="B30" s="3"/>
      <c r="C30" s="12"/>
    </row>
    <row r="31" spans="1:16">
      <c r="A31" s="1"/>
      <c r="B31" s="3"/>
      <c r="C31" s="12"/>
    </row>
    <row r="32" spans="1:16">
      <c r="A32" s="1"/>
      <c r="B32" s="3"/>
      <c r="C32" s="12"/>
    </row>
    <row r="33" spans="1:3">
      <c r="A33" s="1"/>
      <c r="B33" s="3"/>
      <c r="C33" s="12"/>
    </row>
    <row r="34" spans="1:3">
      <c r="A34" s="1"/>
      <c r="B34" s="3"/>
      <c r="C34" s="12"/>
    </row>
    <row r="35" spans="1:3">
      <c r="A35" s="1"/>
      <c r="B35" s="3"/>
      <c r="C35" s="12"/>
    </row>
    <row r="36" spans="1:3">
      <c r="A36" s="1"/>
      <c r="B36" s="3"/>
      <c r="C36" s="12"/>
    </row>
    <row r="37" spans="1:3">
      <c r="A37" s="1"/>
      <c r="B37" s="3"/>
      <c r="C37" s="12"/>
    </row>
    <row r="38" spans="1:3">
      <c r="A38" s="1"/>
      <c r="B38" s="3"/>
      <c r="C38" s="12"/>
    </row>
    <row r="39" spans="1:3">
      <c r="A39" s="1"/>
      <c r="B39" s="3"/>
      <c r="C39" s="12"/>
    </row>
    <row r="40" spans="1:3">
      <c r="A40" s="1"/>
      <c r="B40" s="3"/>
      <c r="C40" s="12"/>
    </row>
    <row r="41" spans="1:3">
      <c r="A41" s="1"/>
      <c r="B41" s="3"/>
      <c r="C41" s="12"/>
    </row>
    <row r="42" spans="1:3">
      <c r="A42" s="1"/>
      <c r="B42" s="3"/>
      <c r="C42" s="12"/>
    </row>
    <row r="43" spans="1:3">
      <c r="A43" s="1"/>
      <c r="B43" s="3"/>
      <c r="C43" s="12"/>
    </row>
    <row r="44" spans="1:3">
      <c r="A44" s="1"/>
      <c r="B44" s="3"/>
      <c r="C44" s="12"/>
    </row>
    <row r="45" spans="1:3">
      <c r="A45" s="1"/>
      <c r="B45" s="3"/>
      <c r="C45" s="12"/>
    </row>
    <row r="46" spans="1:3">
      <c r="A46" s="1"/>
      <c r="B46" s="3"/>
      <c r="C46" s="12"/>
    </row>
    <row r="47" spans="1:3">
      <c r="A47" s="1"/>
      <c r="B47" s="3"/>
      <c r="C47" s="12"/>
    </row>
    <row r="48" spans="1:3">
      <c r="A48" s="1"/>
      <c r="B48" s="3"/>
      <c r="C48" s="12"/>
    </row>
    <row r="49" spans="1:3">
      <c r="A49" s="1"/>
      <c r="B49" s="3"/>
      <c r="C49" s="12"/>
    </row>
    <row r="50" spans="1:3">
      <c r="A50" s="1"/>
      <c r="B50" s="3"/>
      <c r="C50" s="12"/>
    </row>
    <row r="51" spans="1:3">
      <c r="A51" s="1"/>
      <c r="B51" s="3"/>
      <c r="C51" s="12"/>
    </row>
    <row r="52" spans="1:3">
      <c r="A52" s="1"/>
      <c r="B52" s="3"/>
      <c r="C52" s="12"/>
    </row>
    <row r="53" spans="1:3">
      <c r="A53" s="1"/>
      <c r="B53" s="3"/>
      <c r="C53" s="12"/>
    </row>
    <row r="54" spans="1:3">
      <c r="A54" s="1"/>
      <c r="B54" s="3"/>
      <c r="C54" s="12"/>
    </row>
    <row r="55" spans="1:3">
      <c r="A55" s="1"/>
      <c r="B55" s="3"/>
      <c r="C55" s="12"/>
    </row>
    <row r="56" spans="1:3">
      <c r="A56" s="1"/>
      <c r="B56" s="3"/>
      <c r="C56" s="12"/>
    </row>
    <row r="57" spans="1:3">
      <c r="A57" s="1"/>
      <c r="B57" s="3"/>
      <c r="C57" s="12"/>
    </row>
    <row r="58" spans="1:3">
      <c r="A58" s="1"/>
      <c r="B58" s="3"/>
      <c r="C58" s="12"/>
    </row>
    <row r="59" spans="1:3">
      <c r="A59" s="1"/>
      <c r="B59" s="3"/>
      <c r="C59" s="12"/>
    </row>
    <row r="60" spans="1:3">
      <c r="A60" s="1"/>
      <c r="B60" s="3"/>
      <c r="C60" s="12"/>
    </row>
    <row r="61" spans="1:3">
      <c r="A61" s="1"/>
      <c r="B61" s="3"/>
      <c r="C61" s="12"/>
    </row>
    <row r="62" spans="1:3">
      <c r="A62" s="1"/>
      <c r="B62" s="3"/>
      <c r="C62" s="12"/>
    </row>
    <row r="63" spans="1:3">
      <c r="A63" s="1"/>
      <c r="B63" s="3"/>
      <c r="C63" s="12"/>
    </row>
    <row r="64" spans="1:3">
      <c r="A64" s="1"/>
      <c r="B64" s="3"/>
      <c r="C64" s="12"/>
    </row>
    <row r="65" spans="1:3">
      <c r="A65" s="1"/>
      <c r="B65" s="3"/>
      <c r="C65" s="12"/>
    </row>
    <row r="66" spans="1:3">
      <c r="A66" s="1"/>
      <c r="B66" s="3"/>
      <c r="C66" s="12"/>
    </row>
    <row r="67" spans="1:3">
      <c r="A67" s="1"/>
      <c r="B67" s="3"/>
      <c r="C67" s="12"/>
    </row>
    <row r="68" spans="1:3">
      <c r="A68" s="1"/>
      <c r="B68" s="3"/>
      <c r="C68" s="12"/>
    </row>
    <row r="69" spans="1:3">
      <c r="A69" s="1"/>
      <c r="B69" s="3"/>
      <c r="C69" s="12"/>
    </row>
    <row r="70" spans="1:3">
      <c r="A70" s="1"/>
      <c r="B70" s="3"/>
      <c r="C70" s="12"/>
    </row>
    <row r="71" spans="1:3">
      <c r="A71" s="1"/>
      <c r="B71" s="3"/>
      <c r="C71" s="12"/>
    </row>
    <row r="72" spans="1:3">
      <c r="A72" s="1"/>
      <c r="B72" s="3"/>
      <c r="C72" s="12"/>
    </row>
    <row r="73" spans="1:3">
      <c r="A73" s="1"/>
      <c r="B73" s="3"/>
      <c r="C73" s="12"/>
    </row>
    <row r="74" spans="1:3">
      <c r="A74" s="1"/>
      <c r="B74" s="3"/>
      <c r="C74" s="12"/>
    </row>
    <row r="75" spans="1:3">
      <c r="A75" s="1"/>
      <c r="B75" s="3"/>
      <c r="C75" s="12"/>
    </row>
    <row r="76" spans="1:3">
      <c r="A76" s="1"/>
      <c r="B76" s="3"/>
      <c r="C76" s="12"/>
    </row>
    <row r="77" spans="1:3">
      <c r="A77" s="1"/>
      <c r="B77" s="3"/>
      <c r="C77" s="12"/>
    </row>
    <row r="78" spans="1:3">
      <c r="A78" s="1"/>
      <c r="B78" s="3"/>
      <c r="C78" s="12"/>
    </row>
    <row r="79" spans="1:3">
      <c r="A79" s="1"/>
      <c r="B79" s="3"/>
      <c r="C79" s="12"/>
    </row>
    <row r="80" spans="1:3">
      <c r="A80" s="1"/>
      <c r="B80" s="3"/>
      <c r="C80" s="12"/>
    </row>
    <row r="81" spans="1:3">
      <c r="A81" s="1"/>
      <c r="B81" s="3"/>
      <c r="C81" s="12"/>
    </row>
    <row r="82" spans="1:3">
      <c r="A82" s="1"/>
      <c r="B82" s="3"/>
      <c r="C82" s="12"/>
    </row>
    <row r="83" spans="1:3">
      <c r="A83" s="1"/>
      <c r="B83" s="3"/>
      <c r="C83" s="12"/>
    </row>
    <row r="84" spans="1:3">
      <c r="A84" s="1"/>
      <c r="B84" s="3"/>
      <c r="C84" s="12"/>
    </row>
    <row r="85" spans="1:3">
      <c r="A85" s="1"/>
      <c r="B85" s="3"/>
      <c r="C85" s="12"/>
    </row>
    <row r="86" spans="1:3">
      <c r="A86" s="1"/>
      <c r="B86" s="3"/>
      <c r="C86" s="12"/>
    </row>
    <row r="87" spans="1:3">
      <c r="A87" s="1"/>
      <c r="B87" s="3"/>
      <c r="C87" s="12"/>
    </row>
    <row r="88" spans="1:3">
      <c r="A88" s="1"/>
      <c r="B88" s="3"/>
      <c r="C88" s="12"/>
    </row>
    <row r="89" spans="1:3">
      <c r="A89" s="1"/>
      <c r="B89" s="3"/>
      <c r="C89" s="12"/>
    </row>
    <row r="90" spans="1:3">
      <c r="A90" s="1"/>
      <c r="B90" s="3"/>
      <c r="C90" s="12"/>
    </row>
    <row r="91" spans="1:3">
      <c r="A91" s="1"/>
      <c r="B91" s="3"/>
      <c r="C91" s="12"/>
    </row>
    <row r="92" spans="1:3">
      <c r="A92" s="1"/>
      <c r="B92" s="3"/>
      <c r="C92" s="12"/>
    </row>
    <row r="93" spans="1:3">
      <c r="A93" s="1"/>
      <c r="B93" s="3"/>
      <c r="C93" s="12"/>
    </row>
    <row r="94" spans="1:3">
      <c r="A94" s="1"/>
      <c r="B94" s="3"/>
      <c r="C94" s="12"/>
    </row>
    <row r="95" spans="1:3">
      <c r="A95" s="1"/>
      <c r="B95" s="3"/>
      <c r="C95" s="12"/>
    </row>
    <row r="96" spans="1:3">
      <c r="A96" s="1"/>
      <c r="B96" s="3"/>
      <c r="C96" s="12"/>
    </row>
    <row r="97" spans="1:3">
      <c r="A97" s="1"/>
      <c r="B97" s="3"/>
      <c r="C97" s="12"/>
    </row>
    <row r="98" spans="1:3">
      <c r="A98" s="1"/>
      <c r="B98" s="3"/>
      <c r="C98" s="12"/>
    </row>
    <row r="99" spans="1:3">
      <c r="A99" s="1"/>
      <c r="B99" s="3"/>
      <c r="C99" s="12"/>
    </row>
    <row r="100" spans="1:3">
      <c r="A100" s="1"/>
      <c r="B100" s="3"/>
      <c r="C100" s="12"/>
    </row>
    <row r="101" spans="1:3">
      <c r="A101" s="1"/>
      <c r="B101" s="3"/>
      <c r="C101" s="12"/>
    </row>
    <row r="102" spans="1:3">
      <c r="A102" s="1"/>
      <c r="B102" s="3"/>
      <c r="C102" s="12"/>
    </row>
    <row r="103" spans="1:3">
      <c r="A103" s="1"/>
      <c r="B103" s="3"/>
      <c r="C103" s="12"/>
    </row>
    <row r="104" spans="1:3">
      <c r="A104" s="1"/>
      <c r="B104" s="3"/>
      <c r="C104" s="12"/>
    </row>
    <row r="105" spans="1:3">
      <c r="A105" s="1"/>
      <c r="B105" s="3"/>
      <c r="C105" s="12"/>
    </row>
    <row r="106" spans="1:3">
      <c r="A106" s="1"/>
      <c r="B106" s="3"/>
      <c r="C106" s="12"/>
    </row>
    <row r="107" spans="1:3">
      <c r="A107" s="1"/>
      <c r="B107" s="3"/>
      <c r="C107" s="12"/>
    </row>
    <row r="108" spans="1:3">
      <c r="A108" s="1"/>
      <c r="B108" s="3"/>
      <c r="C108" s="12"/>
    </row>
    <row r="109" spans="1:3">
      <c r="A109" s="1"/>
      <c r="B109" s="3"/>
      <c r="C109" s="12"/>
    </row>
    <row r="110" spans="1:3">
      <c r="A110" s="1"/>
      <c r="B110" s="3"/>
      <c r="C110" s="12"/>
    </row>
    <row r="111" spans="1:3">
      <c r="A111" s="1"/>
      <c r="B111" s="3"/>
      <c r="C111" s="12"/>
    </row>
    <row r="112" spans="1:3">
      <c r="A112" s="1"/>
      <c r="B112" s="3"/>
      <c r="C112" s="12"/>
    </row>
    <row r="113" spans="1:3">
      <c r="A113" s="1"/>
      <c r="B113" s="3"/>
      <c r="C113" s="12"/>
    </row>
    <row r="114" spans="1:3">
      <c r="A114" s="1"/>
      <c r="B114" s="3"/>
      <c r="C114" s="12"/>
    </row>
    <row r="115" spans="1:3">
      <c r="A115" s="1"/>
      <c r="B115" s="3"/>
      <c r="C115" s="12"/>
    </row>
    <row r="116" spans="1:3">
      <c r="A116" s="1"/>
      <c r="B116" s="3"/>
      <c r="C116" s="12"/>
    </row>
    <row r="117" spans="1:3">
      <c r="A117" s="1"/>
      <c r="B117" s="3"/>
      <c r="C117" s="12"/>
    </row>
    <row r="118" spans="1:3">
      <c r="A118" s="1"/>
      <c r="B118" s="3"/>
      <c r="C118" s="12"/>
    </row>
    <row r="119" spans="1:3">
      <c r="A119" s="1"/>
      <c r="B119" s="3"/>
      <c r="C119" s="12"/>
    </row>
  </sheetData>
  <mergeCells count="10">
    <mergeCell ref="C11:P11"/>
    <mergeCell ref="C13:P13"/>
    <mergeCell ref="A4:B4"/>
    <mergeCell ref="A8:P8"/>
    <mergeCell ref="E1:H1"/>
    <mergeCell ref="E2:H2"/>
    <mergeCell ref="I1:L1"/>
    <mergeCell ref="I2:L2"/>
    <mergeCell ref="M1:P1"/>
    <mergeCell ref="M2:P2"/>
  </mergeCells>
  <printOptions horizontalCentered="1"/>
  <pageMargins left="0.25" right="0.25" top="0.75" bottom="0.75" header="0.5" footer="0.5"/>
  <pageSetup paperSize="5" scale="95" orientation="landscape" horizontalDpi="300" verticalDpi="300" r:id="rId1"/>
  <headerFooter alignWithMargins="0">
    <oddHeader>&amp;L&amp;8Appendix C - Inventory Summary - NRC</oddHeader>
    <oddFooter>&amp;C&amp;8Page 1 of 2&amp;R&amp;8-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19"/>
  <sheetViews>
    <sheetView workbookViewId="0">
      <selection activeCell="E1" sqref="E1:K7"/>
    </sheetView>
  </sheetViews>
  <sheetFormatPr defaultRowHeight="12.75"/>
  <cols>
    <col min="1" max="1" width="5.85546875" bestFit="1" customWidth="1"/>
    <col min="2" max="2" width="37" style="4" customWidth="1"/>
    <col min="3" max="3" width="16.85546875" bestFit="1" customWidth="1"/>
    <col min="4" max="4" width="10.28515625" customWidth="1"/>
    <col min="9" max="9" width="10.42578125" customWidth="1"/>
  </cols>
  <sheetData>
    <row r="1" spans="1:11">
      <c r="A1" s="48"/>
      <c r="B1" s="49"/>
      <c r="C1" s="48"/>
      <c r="D1" s="38"/>
      <c r="E1" s="72" t="s">
        <v>50</v>
      </c>
      <c r="F1" s="73"/>
      <c r="G1" s="73"/>
      <c r="H1" s="73"/>
      <c r="I1" s="73"/>
      <c r="J1" s="73"/>
      <c r="K1" s="74"/>
    </row>
    <row r="2" spans="1:11">
      <c r="A2" s="48"/>
      <c r="B2" s="49"/>
      <c r="C2" s="48"/>
      <c r="D2" s="50"/>
      <c r="E2" s="72" t="s">
        <v>48</v>
      </c>
      <c r="F2" s="73"/>
      <c r="G2" s="73"/>
      <c r="H2" s="73"/>
      <c r="I2" s="73"/>
      <c r="J2" s="73"/>
      <c r="K2" s="74"/>
    </row>
    <row r="3" spans="1:11" s="4" customFormat="1" ht="25.5">
      <c r="A3" s="21"/>
      <c r="B3" s="21"/>
      <c r="C3" s="21" t="s">
        <v>23</v>
      </c>
      <c r="D3" s="17" t="s">
        <v>31</v>
      </c>
      <c r="E3" s="39" t="s">
        <v>24</v>
      </c>
      <c r="F3" s="40" t="s">
        <v>25</v>
      </c>
      <c r="G3" s="41" t="s">
        <v>32</v>
      </c>
      <c r="H3" s="40" t="s">
        <v>26</v>
      </c>
      <c r="I3" s="40" t="s">
        <v>27</v>
      </c>
      <c r="J3" s="40" t="s">
        <v>28</v>
      </c>
      <c r="K3" s="42" t="s">
        <v>29</v>
      </c>
    </row>
    <row r="4" spans="1:11">
      <c r="A4" s="59" t="s">
        <v>30</v>
      </c>
      <c r="B4" s="59"/>
      <c r="C4" s="20"/>
      <c r="D4" s="18"/>
      <c r="E4" s="43"/>
      <c r="F4" s="44"/>
      <c r="G4" s="44"/>
      <c r="H4" s="44"/>
      <c r="I4" s="44"/>
      <c r="J4" s="44"/>
      <c r="K4" s="45"/>
    </row>
    <row r="5" spans="1:11">
      <c r="A5" s="5" t="s">
        <v>10</v>
      </c>
      <c r="B5" s="6" t="s">
        <v>11</v>
      </c>
      <c r="C5" s="7">
        <v>29723743.620000001</v>
      </c>
      <c r="D5" s="16">
        <f t="shared" ref="D5" si="0">C5/199725503</f>
        <v>0.14882297540139378</v>
      </c>
      <c r="E5" s="30">
        <f>2322572/C5</f>
        <v>7.813860964798619E-2</v>
      </c>
      <c r="F5" s="31">
        <f>2773611/C5</f>
        <v>9.3312976839624612E-2</v>
      </c>
      <c r="G5" s="31">
        <f>2322572/C5</f>
        <v>7.813860964798619E-2</v>
      </c>
      <c r="H5" s="31">
        <f>85649/C5</f>
        <v>2.8815011021145389E-3</v>
      </c>
      <c r="I5" s="31">
        <f>85649/C5</f>
        <v>2.8815011021145389E-3</v>
      </c>
      <c r="J5" s="31">
        <f>110726/C5</f>
        <v>3.7251700665826156E-3</v>
      </c>
      <c r="K5" s="16">
        <f>2450429/C5</f>
        <v>8.2440120306756973E-2</v>
      </c>
    </row>
    <row r="6" spans="1:11" ht="25.5">
      <c r="A6" s="5" t="s">
        <v>2</v>
      </c>
      <c r="B6" s="6" t="s">
        <v>3</v>
      </c>
      <c r="C6" s="7">
        <v>12368343.060000001</v>
      </c>
      <c r="D6" s="16">
        <f t="shared" ref="D6" si="1">C6/199725503</f>
        <v>6.1926708778898408E-2</v>
      </c>
      <c r="E6" s="30">
        <f>50000/C6</f>
        <v>4.042578683130414E-3</v>
      </c>
      <c r="F6" s="31">
        <f>50000/C6</f>
        <v>4.042578683130414E-3</v>
      </c>
      <c r="G6" s="31">
        <f>50000/C6</f>
        <v>4.042578683130414E-3</v>
      </c>
      <c r="H6" s="31">
        <v>0</v>
      </c>
      <c r="I6" s="31">
        <v>0</v>
      </c>
      <c r="J6" s="31">
        <v>0</v>
      </c>
      <c r="K6" s="16">
        <v>0</v>
      </c>
    </row>
    <row r="7" spans="1:11" ht="25.5">
      <c r="A7" s="22" t="s">
        <v>8</v>
      </c>
      <c r="B7" s="23" t="s">
        <v>9</v>
      </c>
      <c r="C7" s="20">
        <v>2924035.29</v>
      </c>
      <c r="D7" s="16">
        <f>C7/199725503</f>
        <v>1.4640270000972285E-2</v>
      </c>
      <c r="E7" s="30">
        <f>2363975/C7</f>
        <v>0.80846322480601795</v>
      </c>
      <c r="F7" s="31">
        <f>2363975/C7</f>
        <v>0.80846322480601795</v>
      </c>
      <c r="G7" s="31">
        <f>2363975/C7</f>
        <v>0.80846322480601795</v>
      </c>
      <c r="H7" s="31">
        <f>68674/C7</f>
        <v>2.3486036654502895E-2</v>
      </c>
      <c r="I7" s="31">
        <f>93000/C7</f>
        <v>3.180536169247123E-2</v>
      </c>
      <c r="J7" s="31">
        <v>0</v>
      </c>
      <c r="K7" s="16">
        <f>59975/C7</f>
        <v>2.0511038360279159E-2</v>
      </c>
    </row>
    <row r="8" spans="1:1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>
      <c r="A9" s="47" t="s">
        <v>22</v>
      </c>
      <c r="K9" s="50"/>
    </row>
    <row r="10" spans="1:11">
      <c r="A10" s="5" t="s">
        <v>0</v>
      </c>
      <c r="B10" s="6" t="s">
        <v>1</v>
      </c>
      <c r="C10" s="7">
        <v>37301146.780000001</v>
      </c>
      <c r="D10" s="16">
        <f t="shared" ref="D10:D19" si="2">C10/199725503</f>
        <v>0.18676206202870346</v>
      </c>
      <c r="E10" s="30">
        <f>598070/C10</f>
        <v>1.6033555309368425E-2</v>
      </c>
      <c r="F10" s="31">
        <f>598070/C10</f>
        <v>1.6033555309368425E-2</v>
      </c>
      <c r="G10" s="31">
        <f>598070/C10</f>
        <v>1.6033555309368425E-2</v>
      </c>
      <c r="H10" s="31">
        <f>856000/C10</f>
        <v>2.2948356120218994E-2</v>
      </c>
      <c r="I10" s="31">
        <v>0</v>
      </c>
      <c r="J10" s="31">
        <f>273417/C10</f>
        <v>7.3299891183667247E-3</v>
      </c>
      <c r="K10" s="16">
        <v>0</v>
      </c>
    </row>
    <row r="11" spans="1:11">
      <c r="A11" s="5" t="s">
        <v>10</v>
      </c>
      <c r="B11" s="6" t="s">
        <v>11</v>
      </c>
      <c r="C11" s="69" t="s">
        <v>51</v>
      </c>
      <c r="D11" s="70"/>
      <c r="E11" s="70"/>
      <c r="F11" s="70"/>
      <c r="G11" s="70"/>
      <c r="H11" s="70"/>
      <c r="I11" s="70"/>
      <c r="J11" s="70"/>
      <c r="K11" s="71"/>
    </row>
    <row r="12" spans="1:11" ht="25.5">
      <c r="A12" s="5" t="s">
        <v>6</v>
      </c>
      <c r="B12" s="6" t="s">
        <v>7</v>
      </c>
      <c r="C12" s="7">
        <v>17106341.98</v>
      </c>
      <c r="D12" s="16">
        <f t="shared" si="2"/>
        <v>8.5649262227668541E-2</v>
      </c>
      <c r="E12" s="30">
        <f>1830423/C12</f>
        <v>0.10700259600445565</v>
      </c>
      <c r="F12" s="31">
        <f>2285263/C12</f>
        <v>0.13359156520265006</v>
      </c>
      <c r="G12" s="31">
        <f>1830423/C12</f>
        <v>0.10700259600445565</v>
      </c>
      <c r="H12" s="31">
        <f>898011/C12</f>
        <v>5.2495793726672589E-2</v>
      </c>
      <c r="I12" s="31">
        <v>0</v>
      </c>
      <c r="J12" s="31">
        <v>0</v>
      </c>
      <c r="K12" s="16">
        <f>2250064/C12</f>
        <v>0.13153390728600411</v>
      </c>
    </row>
    <row r="13" spans="1:11" ht="25.5">
      <c r="A13" s="5" t="s">
        <v>2</v>
      </c>
      <c r="B13" s="6" t="s">
        <v>3</v>
      </c>
      <c r="C13" s="69" t="s">
        <v>51</v>
      </c>
      <c r="D13" s="70"/>
      <c r="E13" s="70"/>
      <c r="F13" s="70"/>
      <c r="G13" s="70"/>
      <c r="H13" s="70"/>
      <c r="I13" s="70"/>
      <c r="J13" s="70"/>
      <c r="K13" s="71"/>
    </row>
    <row r="14" spans="1:11">
      <c r="A14" s="5" t="s">
        <v>12</v>
      </c>
      <c r="B14" s="6" t="s">
        <v>13</v>
      </c>
      <c r="C14" s="7">
        <v>6891441.7199999997</v>
      </c>
      <c r="D14" s="16">
        <f t="shared" si="2"/>
        <v>3.4504565598715752E-2</v>
      </c>
      <c r="E14" s="30">
        <f>545791/C14</f>
        <v>7.9198377085020172E-2</v>
      </c>
      <c r="F14" s="31">
        <f>638152/C14</f>
        <v>9.2600652509036971E-2</v>
      </c>
      <c r="G14" s="31">
        <f>545791/C14</f>
        <v>7.9198377085020172E-2</v>
      </c>
      <c r="H14" s="31">
        <f>37722/C14</f>
        <v>5.473745775216394E-3</v>
      </c>
      <c r="I14" s="31">
        <v>0</v>
      </c>
      <c r="J14" s="31">
        <f>164984/C14</f>
        <v>2.3940418667575993E-2</v>
      </c>
      <c r="K14" s="16">
        <f>285579/C14</f>
        <v>4.1439659740748702E-2</v>
      </c>
    </row>
    <row r="15" spans="1:11">
      <c r="A15" s="5" t="s">
        <v>4</v>
      </c>
      <c r="B15" s="6" t="s">
        <v>5</v>
      </c>
      <c r="C15" s="7">
        <v>6068693.0599999996</v>
      </c>
      <c r="D15" s="16">
        <f t="shared" si="2"/>
        <v>3.0385168487972212E-2</v>
      </c>
      <c r="E15" s="30">
        <f>179531/C15</f>
        <v>2.9583140591394486E-2</v>
      </c>
      <c r="F15" s="31">
        <f>456175/C15</f>
        <v>7.5168573445696732E-2</v>
      </c>
      <c r="G15" s="31">
        <f>179531/C15</f>
        <v>2.9583140591394486E-2</v>
      </c>
      <c r="H15" s="31">
        <f>481220/C15</f>
        <v>7.9295491672139382E-2</v>
      </c>
      <c r="I15" s="31">
        <v>0</v>
      </c>
      <c r="J15" s="31">
        <v>0</v>
      </c>
      <c r="K15" s="16">
        <f>118865/C14</f>
        <v>1.7248205067893981E-2</v>
      </c>
    </row>
    <row r="16" spans="1:11">
      <c r="A16" s="5" t="s">
        <v>18</v>
      </c>
      <c r="B16" s="6" t="s">
        <v>19</v>
      </c>
      <c r="C16" s="7">
        <v>6050000</v>
      </c>
      <c r="D16" s="16">
        <f t="shared" si="2"/>
        <v>3.0291574731945974E-2</v>
      </c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16">
        <v>0</v>
      </c>
    </row>
    <row r="17" spans="1:11">
      <c r="A17" s="5" t="s">
        <v>20</v>
      </c>
      <c r="B17" s="6" t="s">
        <v>21</v>
      </c>
      <c r="C17" s="7">
        <v>5958588</v>
      </c>
      <c r="D17" s="16">
        <f t="shared" si="2"/>
        <v>2.9833886561797768E-2</v>
      </c>
      <c r="E17" s="30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16">
        <v>0</v>
      </c>
    </row>
    <row r="18" spans="1:11" ht="25.5">
      <c r="A18" s="5" t="s">
        <v>14</v>
      </c>
      <c r="B18" s="6" t="s">
        <v>15</v>
      </c>
      <c r="C18" s="7">
        <v>5382150.29</v>
      </c>
      <c r="D18" s="16">
        <f t="shared" si="2"/>
        <v>2.6947736814561935E-2</v>
      </c>
      <c r="E18" s="30">
        <f>4684726/C18</f>
        <v>0.87041902354607048</v>
      </c>
      <c r="F18" s="31">
        <f>4800626/C18</f>
        <v>0.8919531676622876</v>
      </c>
      <c r="G18" s="31">
        <f>4684726/C18</f>
        <v>0.87041902354607048</v>
      </c>
      <c r="H18" s="31">
        <f>269399/C18</f>
        <v>5.0054157815054248E-2</v>
      </c>
      <c r="I18" s="31">
        <f>269399/C18</f>
        <v>5.0054157815054248E-2</v>
      </c>
      <c r="J18" s="31">
        <f>3629123/C18</f>
        <v>0.67428867728626729</v>
      </c>
      <c r="K18" s="16">
        <f>114015/C18</f>
        <v>2.1183912350392579E-2</v>
      </c>
    </row>
    <row r="19" spans="1:11" ht="26.25" thickBot="1">
      <c r="A19" s="8" t="s">
        <v>16</v>
      </c>
      <c r="B19" s="9" t="s">
        <v>17</v>
      </c>
      <c r="C19" s="10">
        <v>3982798.6</v>
      </c>
      <c r="D19" s="46">
        <f t="shared" si="2"/>
        <v>1.994136222052724E-2</v>
      </c>
      <c r="E19" s="32">
        <f>847895/C19</f>
        <v>0.21288924827883587</v>
      </c>
      <c r="F19" s="33">
        <f>847895/C19</f>
        <v>0.21288924827883587</v>
      </c>
      <c r="G19" s="33">
        <f>847895/C19</f>
        <v>0.21288924827883587</v>
      </c>
      <c r="H19" s="33">
        <f>210000/C19</f>
        <v>5.2726743451200368E-2</v>
      </c>
      <c r="I19" s="33">
        <f>210000/C19</f>
        <v>5.2726743451200368E-2</v>
      </c>
      <c r="J19" s="33">
        <v>0</v>
      </c>
      <c r="K19" s="34">
        <v>0</v>
      </c>
    </row>
    <row r="20" spans="1:11">
      <c r="A20" s="1"/>
      <c r="B20" s="3"/>
      <c r="C20" s="2"/>
    </row>
    <row r="21" spans="1:11">
      <c r="A21" s="1"/>
      <c r="B21" s="3"/>
      <c r="C21" s="2"/>
    </row>
    <row r="22" spans="1:11">
      <c r="A22" s="1"/>
      <c r="B22" s="3"/>
      <c r="C22" s="2"/>
    </row>
    <row r="23" spans="1:11">
      <c r="A23" s="1"/>
      <c r="B23" s="3"/>
      <c r="C23" s="2"/>
    </row>
    <row r="24" spans="1:11">
      <c r="A24" s="1"/>
      <c r="B24" s="3"/>
      <c r="C24" s="2"/>
    </row>
    <row r="25" spans="1:11">
      <c r="A25" s="1"/>
      <c r="B25" s="3"/>
      <c r="C25" s="2"/>
    </row>
    <row r="26" spans="1:11">
      <c r="A26" s="1"/>
      <c r="B26" s="3"/>
      <c r="C26" s="2"/>
    </row>
    <row r="27" spans="1:11">
      <c r="A27" s="1"/>
      <c r="B27" s="3"/>
      <c r="C27" s="2"/>
    </row>
    <row r="28" spans="1:11">
      <c r="A28" s="1"/>
      <c r="B28" s="3"/>
      <c r="C28" s="2"/>
    </row>
    <row r="29" spans="1:11">
      <c r="A29" s="1"/>
      <c r="B29" s="3"/>
      <c r="C29" s="2"/>
    </row>
    <row r="30" spans="1:11">
      <c r="A30" s="1"/>
      <c r="B30" s="3"/>
      <c r="C30" s="2"/>
    </row>
    <row r="31" spans="1:11">
      <c r="A31" s="1"/>
      <c r="B31" s="3"/>
      <c r="C31" s="2"/>
    </row>
    <row r="32" spans="1:11">
      <c r="A32" s="1"/>
      <c r="B32" s="3"/>
      <c r="C32" s="2"/>
    </row>
    <row r="33" spans="1:3">
      <c r="A33" s="1"/>
      <c r="B33" s="3"/>
      <c r="C33" s="2"/>
    </row>
    <row r="34" spans="1:3">
      <c r="A34" s="1"/>
      <c r="B34" s="3"/>
      <c r="C34" s="2"/>
    </row>
    <row r="35" spans="1:3">
      <c r="A35" s="1"/>
      <c r="B35" s="3"/>
      <c r="C35" s="2"/>
    </row>
    <row r="36" spans="1:3">
      <c r="A36" s="1"/>
      <c r="B36" s="3"/>
      <c r="C36" s="2"/>
    </row>
    <row r="37" spans="1:3">
      <c r="A37" s="1"/>
      <c r="B37" s="3"/>
      <c r="C37" s="2"/>
    </row>
    <row r="38" spans="1:3">
      <c r="A38" s="1"/>
      <c r="B38" s="3"/>
      <c r="C38" s="2"/>
    </row>
    <row r="39" spans="1:3">
      <c r="A39" s="1"/>
      <c r="B39" s="3"/>
      <c r="C39" s="2"/>
    </row>
    <row r="40" spans="1:3">
      <c r="A40" s="1"/>
      <c r="B40" s="3"/>
      <c r="C40" s="2"/>
    </row>
    <row r="41" spans="1:3">
      <c r="A41" s="1"/>
      <c r="B41" s="3"/>
      <c r="C41" s="2"/>
    </row>
    <row r="42" spans="1:3">
      <c r="A42" s="1"/>
      <c r="B42" s="3"/>
      <c r="C42" s="2"/>
    </row>
    <row r="43" spans="1:3">
      <c r="A43" s="1"/>
      <c r="B43" s="3"/>
      <c r="C43" s="2"/>
    </row>
    <row r="44" spans="1:3">
      <c r="A44" s="1"/>
      <c r="B44" s="3"/>
      <c r="C44" s="2"/>
    </row>
    <row r="45" spans="1:3">
      <c r="A45" s="1"/>
      <c r="B45" s="3"/>
      <c r="C45" s="2"/>
    </row>
    <row r="46" spans="1:3">
      <c r="A46" s="1"/>
      <c r="B46" s="3"/>
      <c r="C46" s="2"/>
    </row>
    <row r="47" spans="1:3">
      <c r="A47" s="1"/>
      <c r="B47" s="3"/>
      <c r="C47" s="2"/>
    </row>
    <row r="48" spans="1:3">
      <c r="A48" s="1"/>
      <c r="B48" s="3"/>
      <c r="C48" s="2"/>
    </row>
    <row r="49" spans="1:3">
      <c r="A49" s="1"/>
      <c r="B49" s="3"/>
      <c r="C49" s="2"/>
    </row>
    <row r="50" spans="1:3">
      <c r="A50" s="1"/>
      <c r="B50" s="3"/>
      <c r="C50" s="2"/>
    </row>
    <row r="51" spans="1:3">
      <c r="A51" s="1"/>
      <c r="B51" s="3"/>
      <c r="C51" s="2"/>
    </row>
    <row r="52" spans="1:3">
      <c r="A52" s="1"/>
      <c r="B52" s="3"/>
      <c r="C52" s="2"/>
    </row>
    <row r="53" spans="1:3">
      <c r="A53" s="1"/>
      <c r="B53" s="3"/>
      <c r="C53" s="2"/>
    </row>
    <row r="54" spans="1:3">
      <c r="A54" s="1"/>
      <c r="B54" s="3"/>
      <c r="C54" s="2"/>
    </row>
    <row r="55" spans="1:3">
      <c r="A55" s="1"/>
      <c r="B55" s="3"/>
      <c r="C55" s="2"/>
    </row>
    <row r="56" spans="1:3">
      <c r="A56" s="1"/>
      <c r="B56" s="3"/>
      <c r="C56" s="2"/>
    </row>
    <row r="57" spans="1:3">
      <c r="A57" s="1"/>
      <c r="B57" s="3"/>
      <c r="C57" s="2"/>
    </row>
    <row r="58" spans="1:3">
      <c r="A58" s="1"/>
      <c r="B58" s="3"/>
      <c r="C58" s="2"/>
    </row>
    <row r="59" spans="1:3">
      <c r="A59" s="1"/>
      <c r="B59" s="3"/>
      <c r="C59" s="2"/>
    </row>
    <row r="60" spans="1:3">
      <c r="A60" s="1"/>
      <c r="B60" s="3"/>
      <c r="C60" s="2"/>
    </row>
    <row r="61" spans="1:3">
      <c r="A61" s="1"/>
      <c r="B61" s="3"/>
      <c r="C61" s="2"/>
    </row>
    <row r="62" spans="1:3">
      <c r="A62" s="1"/>
      <c r="B62" s="3"/>
      <c r="C62" s="2"/>
    </row>
    <row r="63" spans="1:3">
      <c r="A63" s="1"/>
      <c r="B63" s="3"/>
      <c r="C63" s="2"/>
    </row>
    <row r="64" spans="1:3">
      <c r="A64" s="1"/>
      <c r="B64" s="3"/>
      <c r="C64" s="2"/>
    </row>
    <row r="65" spans="1:3">
      <c r="A65" s="1"/>
      <c r="B65" s="3"/>
      <c r="C65" s="2"/>
    </row>
    <row r="66" spans="1:3">
      <c r="A66" s="1"/>
      <c r="B66" s="3"/>
      <c r="C66" s="2"/>
    </row>
    <row r="67" spans="1:3">
      <c r="A67" s="1"/>
      <c r="B67" s="3"/>
      <c r="C67" s="2"/>
    </row>
    <row r="68" spans="1:3">
      <c r="A68" s="1"/>
      <c r="B68" s="3"/>
      <c r="C68" s="2"/>
    </row>
    <row r="69" spans="1:3">
      <c r="A69" s="1"/>
      <c r="B69" s="3"/>
      <c r="C69" s="2"/>
    </row>
    <row r="70" spans="1:3">
      <c r="A70" s="1"/>
      <c r="B70" s="3"/>
      <c r="C70" s="2"/>
    </row>
    <row r="71" spans="1:3">
      <c r="A71" s="1"/>
      <c r="B71" s="3"/>
      <c r="C71" s="2"/>
    </row>
    <row r="72" spans="1:3">
      <c r="A72" s="1"/>
      <c r="B72" s="3"/>
      <c r="C72" s="2"/>
    </row>
    <row r="73" spans="1:3">
      <c r="A73" s="1"/>
      <c r="B73" s="3"/>
      <c r="C73" s="2"/>
    </row>
    <row r="74" spans="1:3">
      <c r="A74" s="1"/>
      <c r="B74" s="3"/>
      <c r="C74" s="2"/>
    </row>
    <row r="75" spans="1:3">
      <c r="A75" s="1"/>
      <c r="B75" s="3"/>
      <c r="C75" s="2"/>
    </row>
    <row r="76" spans="1:3">
      <c r="A76" s="1"/>
      <c r="B76" s="3"/>
      <c r="C76" s="2"/>
    </row>
    <row r="77" spans="1:3">
      <c r="A77" s="1"/>
      <c r="B77" s="3"/>
      <c r="C77" s="2"/>
    </row>
    <row r="78" spans="1:3">
      <c r="A78" s="1"/>
      <c r="B78" s="3"/>
      <c r="C78" s="2"/>
    </row>
    <row r="79" spans="1:3">
      <c r="A79" s="1"/>
      <c r="B79" s="3"/>
      <c r="C79" s="2"/>
    </row>
    <row r="80" spans="1:3">
      <c r="A80" s="1"/>
      <c r="B80" s="3"/>
      <c r="C80" s="2"/>
    </row>
    <row r="81" spans="1:3">
      <c r="A81" s="1"/>
      <c r="B81" s="3"/>
      <c r="C81" s="2"/>
    </row>
    <row r="82" spans="1:3">
      <c r="A82" s="1"/>
      <c r="B82" s="3"/>
      <c r="C82" s="2"/>
    </row>
    <row r="83" spans="1:3">
      <c r="A83" s="1"/>
      <c r="B83" s="3"/>
      <c r="C83" s="2"/>
    </row>
    <row r="84" spans="1:3">
      <c r="A84" s="1"/>
      <c r="B84" s="3"/>
      <c r="C84" s="2"/>
    </row>
    <row r="85" spans="1:3">
      <c r="A85" s="1"/>
      <c r="B85" s="3"/>
      <c r="C85" s="2"/>
    </row>
    <row r="86" spans="1:3">
      <c r="A86" s="1"/>
      <c r="B86" s="3"/>
      <c r="C86" s="2"/>
    </row>
    <row r="87" spans="1:3">
      <c r="A87" s="1"/>
      <c r="B87" s="3"/>
      <c r="C87" s="2"/>
    </row>
    <row r="88" spans="1:3">
      <c r="A88" s="1"/>
      <c r="B88" s="3"/>
      <c r="C88" s="2"/>
    </row>
    <row r="89" spans="1:3">
      <c r="A89" s="1"/>
      <c r="B89" s="3"/>
      <c r="C89" s="2"/>
    </row>
    <row r="90" spans="1:3">
      <c r="A90" s="1"/>
      <c r="B90" s="3"/>
      <c r="C90" s="2"/>
    </row>
    <row r="91" spans="1:3">
      <c r="A91" s="1"/>
      <c r="B91" s="3"/>
      <c r="C91" s="2"/>
    </row>
    <row r="92" spans="1:3">
      <c r="A92" s="1"/>
      <c r="B92" s="3"/>
      <c r="C92" s="2"/>
    </row>
    <row r="93" spans="1:3">
      <c r="A93" s="1"/>
      <c r="B93" s="3"/>
      <c r="C93" s="2"/>
    </row>
    <row r="94" spans="1:3">
      <c r="A94" s="1"/>
      <c r="B94" s="3"/>
      <c r="C94" s="2"/>
    </row>
    <row r="95" spans="1:3">
      <c r="A95" s="1"/>
      <c r="B95" s="3"/>
      <c r="C95" s="2"/>
    </row>
    <row r="96" spans="1:3">
      <c r="A96" s="1"/>
      <c r="B96" s="3"/>
      <c r="C96" s="2"/>
    </row>
    <row r="97" spans="1:3">
      <c r="A97" s="1"/>
      <c r="B97" s="3"/>
      <c r="C97" s="2"/>
    </row>
    <row r="98" spans="1:3">
      <c r="A98" s="1"/>
      <c r="B98" s="3"/>
      <c r="C98" s="2"/>
    </row>
    <row r="99" spans="1:3">
      <c r="A99" s="1"/>
      <c r="B99" s="3"/>
      <c r="C99" s="2"/>
    </row>
    <row r="100" spans="1:3">
      <c r="A100" s="1"/>
      <c r="B100" s="3"/>
      <c r="C100" s="2"/>
    </row>
    <row r="101" spans="1:3">
      <c r="A101" s="1"/>
      <c r="B101" s="3"/>
      <c r="C101" s="2"/>
    </row>
    <row r="102" spans="1:3">
      <c r="A102" s="1"/>
      <c r="B102" s="3"/>
      <c r="C102" s="2"/>
    </row>
    <row r="103" spans="1:3">
      <c r="A103" s="1"/>
      <c r="B103" s="3"/>
      <c r="C103" s="2"/>
    </row>
    <row r="104" spans="1:3">
      <c r="A104" s="1"/>
      <c r="B104" s="3"/>
      <c r="C104" s="2"/>
    </row>
    <row r="105" spans="1:3">
      <c r="A105" s="1"/>
      <c r="B105" s="3"/>
      <c r="C105" s="2"/>
    </row>
    <row r="106" spans="1:3">
      <c r="A106" s="1"/>
      <c r="B106" s="3"/>
      <c r="C106" s="2"/>
    </row>
    <row r="107" spans="1:3">
      <c r="A107" s="1"/>
      <c r="B107" s="3"/>
      <c r="C107" s="2"/>
    </row>
    <row r="108" spans="1:3">
      <c r="A108" s="1"/>
      <c r="B108" s="3"/>
      <c r="C108" s="2"/>
    </row>
    <row r="109" spans="1:3">
      <c r="A109" s="1"/>
      <c r="B109" s="3"/>
      <c r="C109" s="2"/>
    </row>
    <row r="110" spans="1:3">
      <c r="A110" s="1"/>
      <c r="B110" s="3"/>
      <c r="C110" s="2"/>
    </row>
    <row r="111" spans="1:3">
      <c r="A111" s="1"/>
      <c r="B111" s="3"/>
      <c r="C111" s="2"/>
    </row>
    <row r="112" spans="1:3">
      <c r="A112" s="1"/>
      <c r="B112" s="3"/>
      <c r="C112" s="2"/>
    </row>
    <row r="113" spans="1:3">
      <c r="A113" s="1"/>
      <c r="B113" s="3"/>
      <c r="C113" s="2"/>
    </row>
    <row r="114" spans="1:3">
      <c r="A114" s="1"/>
      <c r="B114" s="3"/>
      <c r="C114" s="2"/>
    </row>
    <row r="115" spans="1:3">
      <c r="A115" s="1"/>
      <c r="B115" s="3"/>
      <c r="C115" s="2"/>
    </row>
    <row r="116" spans="1:3">
      <c r="A116" s="1"/>
      <c r="B116" s="3"/>
      <c r="C116" s="2"/>
    </row>
    <row r="117" spans="1:3">
      <c r="A117" s="1"/>
      <c r="B117" s="3"/>
      <c r="C117" s="2"/>
    </row>
    <row r="118" spans="1:3">
      <c r="A118" s="1"/>
      <c r="B118" s="3"/>
      <c r="C118" s="2"/>
    </row>
    <row r="119" spans="1:3">
      <c r="A119" s="1"/>
      <c r="B119" s="3"/>
      <c r="C119" s="2"/>
    </row>
  </sheetData>
  <sortState ref="A2:E110">
    <sortCondition descending="1" ref="C2:C110"/>
    <sortCondition ref="A2:A110"/>
  </sortState>
  <mergeCells count="6">
    <mergeCell ref="C13:K13"/>
    <mergeCell ref="A4:B4"/>
    <mergeCell ref="E1:K1"/>
    <mergeCell ref="E2:K2"/>
    <mergeCell ref="A8:K8"/>
    <mergeCell ref="C11:K11"/>
  </mergeCells>
  <printOptions horizontalCentered="1"/>
  <pageMargins left="0.25" right="0.25" top="0.75" bottom="0.75" header="0.5" footer="0.5"/>
  <pageSetup paperSize="5" scale="95" orientation="landscape" horizontalDpi="300" verticalDpi="300" r:id="rId1"/>
  <headerFooter alignWithMargins="0">
    <oddHeader>&amp;L&amp;8Appendix C: Inventory Summary - NRC</oddHeader>
    <oddFooter>&amp;C&amp;8Page 2 of 2&amp;R&amp;8-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Type, Competition, Time</vt:lpstr>
      <vt:lpstr>Small Business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LSK1</cp:lastModifiedBy>
  <cp:lastPrinted>2010-12-08T20:01:10Z</cp:lastPrinted>
  <dcterms:created xsi:type="dcterms:W3CDTF">2010-11-24T14:49:02Z</dcterms:created>
  <dcterms:modified xsi:type="dcterms:W3CDTF">2012-07-17T13:05:00Z</dcterms:modified>
</cp:coreProperties>
</file>