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JS3\Documents\"/>
    </mc:Choice>
  </mc:AlternateContent>
  <bookViews>
    <workbookView xWindow="360" yWindow="276" windowWidth="14940" windowHeight="9156"/>
  </bookViews>
  <sheets>
    <sheet name="Type, Competition, Time" sheetId="2" r:id="rId1"/>
    <sheet name="Small Business" sheetId="1" r:id="rId2"/>
  </sheets>
  <definedNames>
    <definedName name="_xlnm._FilterDatabase" localSheetId="1" hidden="1">'Small Business'!$C$8:$C$16</definedName>
    <definedName name="_xlnm._FilterDatabase" localSheetId="0" hidden="1">'Type, Competition, Time'!$C$8:$C$16</definedName>
  </definedNames>
  <calcPr calcId="152511"/>
</workbook>
</file>

<file path=xl/calcChain.xml><?xml version="1.0" encoding="utf-8"?>
<calcChain xmlns="http://schemas.openxmlformats.org/spreadsheetml/2006/main">
  <c r="F13" i="2" l="1"/>
  <c r="E5" i="1" l="1"/>
  <c r="D5" i="1"/>
  <c r="P5" i="2"/>
  <c r="O5" i="2"/>
  <c r="N5" i="2"/>
  <c r="M5" i="2"/>
  <c r="J5" i="2"/>
  <c r="I5" i="2"/>
  <c r="F5" i="2"/>
  <c r="E5" i="2"/>
  <c r="D5" i="2"/>
  <c r="K15" i="2" l="1"/>
  <c r="K10" i="2"/>
  <c r="K12" i="2"/>
  <c r="J12" i="2"/>
  <c r="J10" i="2"/>
  <c r="J9" i="2"/>
  <c r="K9" i="2" l="1"/>
  <c r="K8" i="2"/>
  <c r="J15" i="2"/>
  <c r="J14" i="2"/>
  <c r="J13" i="2"/>
  <c r="I12" i="2"/>
  <c r="I15" i="2"/>
  <c r="I11" i="2"/>
  <c r="I10" i="2"/>
  <c r="I9" i="2"/>
  <c r="I14" i="2"/>
  <c r="I8" i="2"/>
  <c r="I16" i="2"/>
  <c r="J16" i="2"/>
  <c r="E8" i="2"/>
  <c r="E16" i="2"/>
  <c r="E14" i="1" l="1"/>
  <c r="E15" i="1"/>
  <c r="E12" i="1"/>
  <c r="E11" i="1"/>
  <c r="E10" i="1"/>
  <c r="E9" i="1"/>
  <c r="E8" i="1"/>
  <c r="E16" i="1"/>
  <c r="F15" i="1"/>
  <c r="F12" i="1"/>
  <c r="F11" i="1"/>
  <c r="F10" i="1"/>
  <c r="F8" i="1"/>
  <c r="F16" i="1"/>
  <c r="G15" i="1"/>
  <c r="G12" i="1"/>
  <c r="G11" i="1"/>
  <c r="G10" i="1"/>
  <c r="G9" i="1"/>
  <c r="G8" i="1"/>
  <c r="G16" i="1"/>
  <c r="H12" i="1" l="1"/>
  <c r="H10" i="1"/>
  <c r="H9" i="1"/>
  <c r="H8" i="1"/>
  <c r="H16" i="1"/>
  <c r="I12" i="1" l="1"/>
  <c r="I10" i="1"/>
  <c r="I16" i="1"/>
  <c r="J8" i="1"/>
  <c r="J16" i="1"/>
  <c r="J12" i="1"/>
  <c r="J14" i="1"/>
  <c r="J10" i="1"/>
  <c r="K12" i="1"/>
  <c r="K10" i="1"/>
  <c r="K9" i="1"/>
  <c r="K8" i="1"/>
  <c r="P16" i="2" l="1"/>
  <c r="P15" i="2"/>
  <c r="P13" i="2"/>
  <c r="P12" i="2"/>
  <c r="P11" i="2"/>
  <c r="P10" i="2"/>
  <c r="P9" i="2"/>
  <c r="P8" i="2"/>
  <c r="O16" i="2"/>
  <c r="O15" i="2"/>
  <c r="O14" i="2"/>
  <c r="O13" i="2"/>
  <c r="O12" i="2"/>
  <c r="O11" i="2"/>
  <c r="O10" i="2"/>
  <c r="O9" i="2"/>
  <c r="O8" i="2"/>
  <c r="N15" i="2"/>
  <c r="N14" i="2"/>
  <c r="M12" i="2"/>
  <c r="N11" i="2"/>
  <c r="N10" i="2"/>
  <c r="N9" i="2"/>
  <c r="N8" i="2"/>
  <c r="N16" i="2"/>
  <c r="N13" i="2"/>
  <c r="M14" i="2"/>
  <c r="M13" i="2"/>
  <c r="M8" i="2"/>
  <c r="M16" i="2"/>
  <c r="M10" i="2" l="1"/>
  <c r="M9" i="2"/>
  <c r="G15" i="2" l="1"/>
  <c r="G12" i="2"/>
  <c r="G10" i="2"/>
  <c r="G9" i="2"/>
  <c r="G8" i="2"/>
  <c r="G16" i="2"/>
  <c r="F10" i="2"/>
  <c r="F9" i="2"/>
  <c r="E14" i="2"/>
  <c r="E9" i="2"/>
  <c r="E12" i="2"/>
  <c r="E11" i="2"/>
  <c r="E10" i="2"/>
  <c r="E15" i="2"/>
  <c r="D9" i="1" l="1"/>
  <c r="D10" i="1"/>
  <c r="D11" i="1"/>
  <c r="D12" i="1"/>
  <c r="D13" i="1"/>
  <c r="D14" i="1"/>
  <c r="D15" i="1"/>
  <c r="D16" i="1"/>
  <c r="D8" i="1"/>
  <c r="D9" i="2"/>
  <c r="D10" i="2"/>
  <c r="D11" i="2"/>
  <c r="D12" i="2"/>
  <c r="D13" i="2"/>
  <c r="D14" i="2"/>
  <c r="D15" i="2"/>
  <c r="D16" i="2"/>
  <c r="D8" i="2"/>
  <c r="N12" i="2" l="1"/>
  <c r="L8" i="2" l="1"/>
  <c r="F8" i="2" l="1"/>
</calcChain>
</file>

<file path=xl/sharedStrings.xml><?xml version="1.0" encoding="utf-8"?>
<sst xmlns="http://schemas.openxmlformats.org/spreadsheetml/2006/main" count="75" uniqueCount="49">
  <si>
    <t>D399</t>
  </si>
  <si>
    <t>R499</t>
  </si>
  <si>
    <t>R699</t>
  </si>
  <si>
    <t>Biggest Percentage of Obligations</t>
  </si>
  <si>
    <t>Obligations</t>
  </si>
  <si>
    <t>Small Business</t>
  </si>
  <si>
    <t>SDB</t>
  </si>
  <si>
    <t>VOSB</t>
  </si>
  <si>
    <t>HUBZone</t>
  </si>
  <si>
    <t>WOSB</t>
  </si>
  <si>
    <t>Special Interest Functions</t>
  </si>
  <si>
    <t>% Total Obligations</t>
  </si>
  <si>
    <t>8(a) Program</t>
  </si>
  <si>
    <t>Fixed Price</t>
  </si>
  <si>
    <t>Cost</t>
  </si>
  <si>
    <t>T&amp;M/LH</t>
  </si>
  <si>
    <t>Other</t>
  </si>
  <si>
    <t>Competed</t>
  </si>
  <si>
    <t>Not Competed</t>
  </si>
  <si>
    <t>blank</t>
  </si>
  <si>
    <t>Q1</t>
  </si>
  <si>
    <t>Q2</t>
  </si>
  <si>
    <t>Q3</t>
  </si>
  <si>
    <t>Q4</t>
  </si>
  <si>
    <t>Contract Type Analysis</t>
  </si>
  <si>
    <t>(as % of PSC Obligations)</t>
  </si>
  <si>
    <t>Competition Analysis</t>
  </si>
  <si>
    <t>(as a % of PSC Obligations)</t>
  </si>
  <si>
    <t>Time of Obligation Analysis</t>
  </si>
  <si>
    <t>Small Business Analysis</t>
  </si>
  <si>
    <t>SDVOSB</t>
  </si>
  <si>
    <t>Not Available for Comp.</t>
  </si>
  <si>
    <t>IT AND TELECOM- OTHER IT AND TELECOMMUNICATIONS</t>
  </si>
  <si>
    <t>SUPPORT- PROFESSIONAL: OTHER</t>
  </si>
  <si>
    <t>SUPPORT- ADMINISTRATIVE: OTHER</t>
  </si>
  <si>
    <t>R425</t>
  </si>
  <si>
    <t>SUPPORT - PROFESSIONAL: ENGINEERING/TECHNICAL</t>
  </si>
  <si>
    <t>Z2AA</t>
  </si>
  <si>
    <t>REPAIR OR ALTERATION OF OFFICE BUILDINGS</t>
  </si>
  <si>
    <t>D319</t>
  </si>
  <si>
    <t>B519</t>
  </si>
  <si>
    <t>SPECIAL STUDIES/ANALYSIS- GEOTECHNICAL</t>
  </si>
  <si>
    <t>M111</t>
  </si>
  <si>
    <t>OPERATION OF OFFICE BUILDINGS</t>
  </si>
  <si>
    <t>R710</t>
  </si>
  <si>
    <t>SUPPORT- MANAGEMENT: FINANCIAL</t>
  </si>
  <si>
    <t>IT AND TELECOM- ANNUAL SOFTWARE MAINTENANCE SERVICE PLANS</t>
  </si>
  <si>
    <t>AZ11</t>
  </si>
  <si>
    <t>R&amp;D- OTHER RESEARCH AND DEVELOPMENT (BASIC RESEARCH)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</si>
</sst>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"/>
    <numFmt numFmtId="165" formatCode="&quot;$&quot;#,##0"/>
    <numFmt numFmtId="166" formatCode="0.0%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165" fontId="0" fillId="0" borderId="0" xfId="0" applyNumberFormat="1"/>
    <xf numFmtId="165" fontId="3" fillId="0" borderId="0" xfId="0" applyNumberFormat="1" applyFont="1" applyAlignment="1">
      <alignment horizontal="right"/>
    </xf>
    <xf numFmtId="166" fontId="0" fillId="0" borderId="0" xfId="0" applyNumberFormat="1"/>
    <xf numFmtId="166" fontId="0" fillId="0" borderId="6" xfId="0" applyNumberFormat="1" applyBorder="1"/>
    <xf numFmtId="0" fontId="0" fillId="0" borderId="6" xfId="0" applyBorder="1"/>
    <xf numFmtId="165" fontId="0" fillId="0" borderId="5" xfId="0" applyNumberFormat="1" applyBorder="1"/>
    <xf numFmtId="0" fontId="0" fillId="0" borderId="8" xfId="0" applyBorder="1"/>
    <xf numFmtId="166" fontId="1" fillId="0" borderId="4" xfId="0" applyNumberFormat="1" applyFont="1" applyBorder="1" applyAlignment="1">
      <alignment wrapText="1"/>
    </xf>
    <xf numFmtId="166" fontId="1" fillId="0" borderId="5" xfId="0" applyNumberFormat="1" applyFont="1" applyBorder="1" applyAlignment="1">
      <alignment wrapText="1"/>
    </xf>
    <xf numFmtId="166" fontId="1" fillId="0" borderId="6" xfId="0" applyNumberFormat="1" applyFont="1" applyBorder="1" applyAlignment="1">
      <alignment wrapText="1"/>
    </xf>
    <xf numFmtId="166" fontId="0" fillId="0" borderId="4" xfId="0" applyNumberFormat="1" applyBorder="1"/>
    <xf numFmtId="166" fontId="0" fillId="0" borderId="5" xfId="0" applyNumberFormat="1" applyBorder="1"/>
    <xf numFmtId="166" fontId="1" fillId="0" borderId="4" xfId="0" applyNumberFormat="1" applyFont="1" applyBorder="1" applyAlignment="1">
      <alignment horizontal="center" wrapText="1"/>
    </xf>
    <xf numFmtId="166" fontId="1" fillId="0" borderId="5" xfId="0" applyNumberFormat="1" applyFont="1" applyBorder="1" applyAlignment="1">
      <alignment horizontal="center" wrapText="1"/>
    </xf>
    <xf numFmtId="166" fontId="1" fillId="0" borderId="6" xfId="0" applyNumberFormat="1" applyFont="1" applyBorder="1" applyAlignment="1">
      <alignment horizontal="center" wrapText="1"/>
    </xf>
    <xf numFmtId="0" fontId="0" fillId="0" borderId="7" xfId="0" applyBorder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165" fontId="0" fillId="0" borderId="2" xfId="0" applyNumberForma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wrapText="1"/>
    </xf>
    <xf numFmtId="166" fontId="0" fillId="0" borderId="4" xfId="0" applyNumberFormat="1" applyFill="1" applyBorder="1" applyAlignment="1">
      <alignment horizontal="right"/>
    </xf>
    <xf numFmtId="166" fontId="0" fillId="0" borderId="5" xfId="0" applyNumberForma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6" fontId="0" fillId="0" borderId="8" xfId="0" applyNumberFormat="1" applyFill="1" applyBorder="1" applyAlignment="1">
      <alignment horizontal="right"/>
    </xf>
    <xf numFmtId="0" fontId="4" fillId="0" borderId="5" xfId="0" applyFont="1" applyFill="1" applyBorder="1"/>
    <xf numFmtId="0" fontId="4" fillId="0" borderId="5" xfId="0" applyFont="1" applyFill="1" applyBorder="1" applyAlignment="1">
      <alignment wrapText="1"/>
    </xf>
    <xf numFmtId="8" fontId="0" fillId="0" borderId="5" xfId="0" applyNumberFormat="1" applyFill="1" applyBorder="1"/>
    <xf numFmtId="166" fontId="0" fillId="0" borderId="12" xfId="0" applyNumberFormat="1" applyFill="1" applyBorder="1"/>
    <xf numFmtId="166" fontId="0" fillId="0" borderId="4" xfId="0" applyNumberFormat="1" applyFill="1" applyBorder="1"/>
    <xf numFmtId="166" fontId="0" fillId="0" borderId="5" xfId="0" applyNumberFormat="1" applyFill="1" applyBorder="1"/>
    <xf numFmtId="0" fontId="0" fillId="0" borderId="13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9" xfId="0" applyFill="1" applyBorder="1"/>
    <xf numFmtId="166" fontId="0" fillId="0" borderId="6" xfId="0" applyNumberFormat="1" applyFill="1" applyBorder="1"/>
    <xf numFmtId="166" fontId="0" fillId="0" borderId="16" xfId="0" applyNumberFormat="1" applyFill="1" applyBorder="1"/>
    <xf numFmtId="0" fontId="0" fillId="0" borderId="15" xfId="0" applyFill="1" applyBorder="1" applyAlignment="1">
      <alignment wrapText="1"/>
    </xf>
    <xf numFmtId="165" fontId="0" fillId="0" borderId="15" xfId="0" applyNumberFormat="1" applyFill="1" applyBorder="1"/>
    <xf numFmtId="0" fontId="0" fillId="0" borderId="15" xfId="0" applyFill="1" applyBorder="1"/>
    <xf numFmtId="166" fontId="0" fillId="0" borderId="15" xfId="0" applyNumberFormat="1" applyFill="1" applyBorder="1"/>
    <xf numFmtId="166" fontId="0" fillId="0" borderId="9" xfId="0" applyNumberFormat="1" applyFill="1" applyBorder="1"/>
    <xf numFmtId="166" fontId="0" fillId="0" borderId="8" xfId="0" applyNumberFormat="1" applyFill="1" applyBorder="1"/>
    <xf numFmtId="166" fontId="1" fillId="0" borderId="5" xfId="0" applyNumberFormat="1" applyFont="1" applyFill="1" applyBorder="1"/>
    <xf numFmtId="0" fontId="0" fillId="0" borderId="10" xfId="0" applyBorder="1" applyAlignment="1"/>
    <xf numFmtId="0" fontId="0" fillId="0" borderId="16" xfId="0" applyBorder="1" applyAlignment="1"/>
    <xf numFmtId="0" fontId="0" fillId="0" borderId="14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166" fontId="1" fillId="0" borderId="1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4"/>
  <sheetViews>
    <sheetView tabSelected="1" zoomScaleNormal="100" workbookViewId="0">
      <pane xSplit="1" topLeftCell="C1" activePane="topRight" state="frozen"/>
      <selection pane="topRight" activeCell="E11" sqref="E11"/>
    </sheetView>
  </sheetViews>
  <sheetFormatPr defaultRowHeight="13.2" x14ac:dyDescent="0.25"/>
  <cols>
    <col min="1" max="1" width="17.88671875" customWidth="1"/>
    <col min="2" max="2" width="57.88671875" style="4" customWidth="1"/>
    <col min="3" max="3" width="17.88671875" style="5" customWidth="1"/>
    <col min="4" max="4" width="10.33203125" customWidth="1"/>
    <col min="5" max="8" width="9.109375" style="7" customWidth="1"/>
    <col min="9" max="9" width="10.44140625" style="7" customWidth="1"/>
    <col min="10" max="10" width="12.33203125" style="7" bestFit="1" customWidth="1"/>
    <col min="11" max="11" width="13.44140625" style="7" bestFit="1" customWidth="1"/>
    <col min="12" max="12" width="9.109375" style="7"/>
    <col min="13" max="13" width="12.33203125" style="7" bestFit="1" customWidth="1"/>
    <col min="14" max="16" width="9.109375" style="7"/>
  </cols>
  <sheetData>
    <row r="1" spans="1:16" x14ac:dyDescent="0.25">
      <c r="E1" s="64" t="s">
        <v>24</v>
      </c>
      <c r="F1" s="65"/>
      <c r="G1" s="65"/>
      <c r="H1" s="66"/>
      <c r="I1" s="64" t="s">
        <v>26</v>
      </c>
      <c r="J1" s="65"/>
      <c r="K1" s="65"/>
      <c r="L1" s="66"/>
      <c r="M1" s="64" t="s">
        <v>28</v>
      </c>
      <c r="N1" s="65"/>
      <c r="O1" s="65"/>
      <c r="P1" s="66"/>
    </row>
    <row r="2" spans="1:16" ht="13.8" thickBot="1" x14ac:dyDescent="0.3">
      <c r="E2" s="67" t="s">
        <v>25</v>
      </c>
      <c r="F2" s="68"/>
      <c r="G2" s="68"/>
      <c r="H2" s="69"/>
      <c r="I2" s="67" t="s">
        <v>27</v>
      </c>
      <c r="J2" s="68"/>
      <c r="K2" s="68"/>
      <c r="L2" s="69"/>
      <c r="M2" s="67" t="s">
        <v>25</v>
      </c>
      <c r="N2" s="68"/>
      <c r="O2" s="68"/>
      <c r="P2" s="69"/>
    </row>
    <row r="3" spans="1:16" s="4" customFormat="1" ht="26.4" x14ac:dyDescent="0.25">
      <c r="A3" s="30"/>
      <c r="B3" s="31"/>
      <c r="C3" s="32" t="s">
        <v>4</v>
      </c>
      <c r="D3" s="33" t="s">
        <v>11</v>
      </c>
      <c r="E3" s="12" t="s">
        <v>13</v>
      </c>
      <c r="F3" s="13" t="s">
        <v>14</v>
      </c>
      <c r="G3" s="13" t="s">
        <v>15</v>
      </c>
      <c r="H3" s="14" t="s">
        <v>16</v>
      </c>
      <c r="I3" s="12" t="s">
        <v>17</v>
      </c>
      <c r="J3" s="13" t="s">
        <v>18</v>
      </c>
      <c r="K3" s="13" t="s">
        <v>31</v>
      </c>
      <c r="L3" s="14" t="s">
        <v>19</v>
      </c>
      <c r="M3" s="17" t="s">
        <v>20</v>
      </c>
      <c r="N3" s="18" t="s">
        <v>21</v>
      </c>
      <c r="O3" s="18" t="s">
        <v>22</v>
      </c>
      <c r="P3" s="19" t="s">
        <v>23</v>
      </c>
    </row>
    <row r="4" spans="1:16" x14ac:dyDescent="0.25">
      <c r="A4" s="59" t="s">
        <v>10</v>
      </c>
      <c r="B4" s="60"/>
      <c r="C4" s="10"/>
      <c r="D4" s="11"/>
      <c r="E4" s="15"/>
      <c r="F4" s="16"/>
      <c r="G4" s="16"/>
      <c r="H4" s="8"/>
      <c r="I4" s="15"/>
      <c r="J4" s="16"/>
      <c r="K4" s="16"/>
      <c r="L4" s="8"/>
      <c r="M4" s="15"/>
      <c r="N4" s="16"/>
      <c r="O4" s="16"/>
      <c r="P4" s="8"/>
    </row>
    <row r="5" spans="1:16" ht="26.4" x14ac:dyDescent="0.25">
      <c r="A5" s="40" t="s">
        <v>47</v>
      </c>
      <c r="B5" s="41" t="s">
        <v>48</v>
      </c>
      <c r="C5" s="42">
        <v>2825499</v>
      </c>
      <c r="D5" s="43">
        <f t="shared" ref="D5" si="0">C5/168929814.36</f>
        <v>1.6725875244133548E-2</v>
      </c>
      <c r="E5" s="36">
        <f>127304.6/C5</f>
        <v>4.505561672469182E-2</v>
      </c>
      <c r="F5" s="37">
        <f>2825499/C5</f>
        <v>1</v>
      </c>
      <c r="G5" s="37">
        <v>0</v>
      </c>
      <c r="H5" s="38">
        <v>0</v>
      </c>
      <c r="I5" s="36">
        <f>145000/C5</f>
        <v>5.1318368896962979E-2</v>
      </c>
      <c r="J5" s="37">
        <f>1375499/C5</f>
        <v>0.48681631103037021</v>
      </c>
      <c r="K5" s="37">
        <v>0</v>
      </c>
      <c r="L5" s="38">
        <v>0</v>
      </c>
      <c r="M5" s="44">
        <f>661349.23/C5</f>
        <v>0.23406457761974078</v>
      </c>
      <c r="N5" s="45">
        <f>469149.77/C5</f>
        <v>0.16604138596403681</v>
      </c>
      <c r="O5" s="45">
        <f>1000000/C5</f>
        <v>0.35391978549629638</v>
      </c>
      <c r="P5" s="38">
        <f>550000/C5</f>
        <v>0.19465588202296302</v>
      </c>
    </row>
    <row r="6" spans="1:16" x14ac:dyDescent="0.2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3"/>
    </row>
    <row r="7" spans="1:16" x14ac:dyDescent="0.25">
      <c r="A7" s="46" t="s">
        <v>3</v>
      </c>
      <c r="B7" s="52"/>
      <c r="C7" s="53"/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6"/>
    </row>
    <row r="8" spans="1:16" x14ac:dyDescent="0.25">
      <c r="A8" s="34" t="s">
        <v>0</v>
      </c>
      <c r="B8" s="35" t="s">
        <v>32</v>
      </c>
      <c r="C8" s="42">
        <v>120907610.06</v>
      </c>
      <c r="D8" s="43">
        <f>C8/168929814.36</f>
        <v>0.71572688644728111</v>
      </c>
      <c r="E8" s="36">
        <f>82433182.15/C8</f>
        <v>0.68178654849841802</v>
      </c>
      <c r="F8" s="45">
        <f>0</f>
        <v>0</v>
      </c>
      <c r="G8" s="45">
        <f>26450773.49/C8</f>
        <v>0.21876847517599504</v>
      </c>
      <c r="H8" s="50">
        <v>0</v>
      </c>
      <c r="I8" s="44">
        <f>119915447.76/C8</f>
        <v>0.99179404588753639</v>
      </c>
      <c r="J8" s="37">
        <v>0</v>
      </c>
      <c r="K8" s="45">
        <f>992132.3/C8</f>
        <v>8.2057059891239084E-3</v>
      </c>
      <c r="L8" s="50">
        <f>40000/C8</f>
        <v>3.3083111956435274E-4</v>
      </c>
      <c r="M8" s="44">
        <f>13785936.67/C8</f>
        <v>0.11402042156948412</v>
      </c>
      <c r="N8" s="45">
        <f>15646617.09/C8</f>
        <v>0.12940969623198587</v>
      </c>
      <c r="O8" s="45">
        <f>53180706.8/C8</f>
        <v>0.43984581924668964</v>
      </c>
      <c r="P8" s="50">
        <f>35862821.42/C8</f>
        <v>0.29661343402787627</v>
      </c>
    </row>
    <row r="9" spans="1:16" x14ac:dyDescent="0.25">
      <c r="A9" s="34" t="s">
        <v>35</v>
      </c>
      <c r="B9" s="35" t="s">
        <v>36</v>
      </c>
      <c r="C9" s="42">
        <v>11657725.57</v>
      </c>
      <c r="D9" s="43">
        <f t="shared" ref="D9:D16" si="1">C9/168929814.36</f>
        <v>6.9009284205786531E-2</v>
      </c>
      <c r="E9" s="36">
        <f>819253.45/C9</f>
        <v>7.027558206621945E-2</v>
      </c>
      <c r="F9" s="37">
        <f>7107823.16/C9</f>
        <v>0.60970925394669417</v>
      </c>
      <c r="G9" s="39">
        <f>2124648.96/C9</f>
        <v>0.18225244257486839</v>
      </c>
      <c r="H9" s="38">
        <v>0</v>
      </c>
      <c r="I9" s="36">
        <f>10636282.13/C9</f>
        <v>0.91238055537792184</v>
      </c>
      <c r="J9" s="37">
        <f>786443.44/C9</f>
        <v>6.7461138562382533E-2</v>
      </c>
      <c r="K9" s="45">
        <f>235000/C9</f>
        <v>2.0158306059695656E-2</v>
      </c>
      <c r="L9" s="38">
        <v>0</v>
      </c>
      <c r="M9" s="36">
        <f>700265.97/C9</f>
        <v>6.0068832963615558E-2</v>
      </c>
      <c r="N9" s="37">
        <f>1657069.56/C9</f>
        <v>0.14214346958589452</v>
      </c>
      <c r="O9" s="37">
        <f>5238933.44/C9</f>
        <v>0.44939584557401796</v>
      </c>
      <c r="P9" s="38">
        <f>3937533.6/C9</f>
        <v>0.3377617337410011</v>
      </c>
    </row>
    <row r="10" spans="1:16" x14ac:dyDescent="0.25">
      <c r="A10" s="34" t="s">
        <v>1</v>
      </c>
      <c r="B10" s="35" t="s">
        <v>33</v>
      </c>
      <c r="C10" s="42">
        <v>10405967.09</v>
      </c>
      <c r="D10" s="43">
        <f t="shared" si="1"/>
        <v>6.1599351952309804E-2</v>
      </c>
      <c r="E10" s="44">
        <f>2920197.59/C10</f>
        <v>0.28062721751313935</v>
      </c>
      <c r="F10" s="45">
        <f>5378200.5/C10</f>
        <v>0.51683812311576316</v>
      </c>
      <c r="G10" s="57">
        <f>700620/C10</f>
        <v>6.732867728106566E-2</v>
      </c>
      <c r="H10" s="50">
        <v>0</v>
      </c>
      <c r="I10" s="44">
        <f>4363529.33/C10</f>
        <v>0.41932953393570649</v>
      </c>
      <c r="J10" s="37">
        <f>5005500.52/C10</f>
        <v>0.48102213630967766</v>
      </c>
      <c r="K10" s="45">
        <f>1036937.24/C10</f>
        <v>9.9648329754615822E-2</v>
      </c>
      <c r="L10" s="50">
        <v>0</v>
      </c>
      <c r="M10" s="44">
        <f>957700.15/C10</f>
        <v>9.2033747725412035E-2</v>
      </c>
      <c r="N10" s="45">
        <f>2360914.5/C10</f>
        <v>0.22688083477304175</v>
      </c>
      <c r="O10" s="58">
        <f>4517703.04/C10</f>
        <v>0.43414542838036213</v>
      </c>
      <c r="P10" s="50">
        <f>2269649.4/C10</f>
        <v>0.21811037651475024</v>
      </c>
    </row>
    <row r="11" spans="1:16" x14ac:dyDescent="0.25">
      <c r="A11" s="34" t="s">
        <v>37</v>
      </c>
      <c r="B11" s="35" t="s">
        <v>38</v>
      </c>
      <c r="C11" s="42">
        <v>4046951.83</v>
      </c>
      <c r="D11" s="43">
        <f t="shared" si="1"/>
        <v>2.3956409620954727E-2</v>
      </c>
      <c r="E11" s="36">
        <f>4046951.83/C11</f>
        <v>1</v>
      </c>
      <c r="F11" s="37">
        <v>0</v>
      </c>
      <c r="G11" s="37">
        <v>0</v>
      </c>
      <c r="H11" s="38">
        <v>0</v>
      </c>
      <c r="I11" s="36">
        <f>4046951.83/C11</f>
        <v>1</v>
      </c>
      <c r="J11" s="37">
        <v>0</v>
      </c>
      <c r="K11" s="37">
        <v>0</v>
      </c>
      <c r="L11" s="38">
        <v>0</v>
      </c>
      <c r="M11" s="36">
        <v>0</v>
      </c>
      <c r="N11" s="45">
        <f>477629.63/C11</f>
        <v>0.11802206946456291</v>
      </c>
      <c r="O11" s="58">
        <f>500964.784/C11</f>
        <v>0.12378817565515722</v>
      </c>
      <c r="P11" s="38">
        <f>3068357.42/C11</f>
        <v>0.75818975586867809</v>
      </c>
    </row>
    <row r="12" spans="1:16" x14ac:dyDescent="0.25">
      <c r="A12" s="34" t="s">
        <v>2</v>
      </c>
      <c r="B12" s="35" t="s">
        <v>34</v>
      </c>
      <c r="C12" s="42">
        <v>5907275.0800000001</v>
      </c>
      <c r="D12" s="43">
        <f t="shared" si="1"/>
        <v>3.4968812949804272E-2</v>
      </c>
      <c r="E12" s="44">
        <f>1840141.99/C12</f>
        <v>0.3115043679327017</v>
      </c>
      <c r="F12" s="45">
        <v>0</v>
      </c>
      <c r="G12" s="45">
        <f>4067133.09/C12</f>
        <v>0.68849563206729825</v>
      </c>
      <c r="H12" s="50">
        <v>0</v>
      </c>
      <c r="I12" s="44">
        <f>1245960.68/C12</f>
        <v>0.2109196986980332</v>
      </c>
      <c r="J12" s="45">
        <f>62000/C12</f>
        <v>1.0495532908211886E-2</v>
      </c>
      <c r="K12" s="45">
        <f>4599314.3/C12</f>
        <v>0.77858475146547601</v>
      </c>
      <c r="L12" s="50">
        <v>0</v>
      </c>
      <c r="M12" s="44">
        <f>1512803.62/C12</f>
        <v>0.25609161576406564</v>
      </c>
      <c r="N12" s="45">
        <f>979634.04/C12</f>
        <v>0.16583518233587999</v>
      </c>
      <c r="O12" s="58">
        <f>2978343.74/C12</f>
        <v>0.50418233443769145</v>
      </c>
      <c r="P12" s="50">
        <f>901079.28/C12</f>
        <v>0.15253721348625601</v>
      </c>
    </row>
    <row r="13" spans="1:16" x14ac:dyDescent="0.25">
      <c r="A13" s="40" t="s">
        <v>40</v>
      </c>
      <c r="B13" s="41" t="s">
        <v>41</v>
      </c>
      <c r="C13" s="42">
        <v>4350980</v>
      </c>
      <c r="D13" s="43">
        <f t="shared" si="1"/>
        <v>2.575614030290585E-2</v>
      </c>
      <c r="E13" s="44">
        <v>0</v>
      </c>
      <c r="F13" s="45">
        <f>4350980/C13</f>
        <v>1</v>
      </c>
      <c r="G13" s="45">
        <v>0</v>
      </c>
      <c r="H13" s="50">
        <v>0</v>
      </c>
      <c r="I13" s="44">
        <v>0</v>
      </c>
      <c r="J13" s="45">
        <f>4350980/C13</f>
        <v>1</v>
      </c>
      <c r="K13" s="45">
        <v>0</v>
      </c>
      <c r="L13" s="50">
        <v>0</v>
      </c>
      <c r="M13" s="44">
        <f>671987/C13</f>
        <v>0.15444497561468912</v>
      </c>
      <c r="N13" s="45">
        <f>470177/C13</f>
        <v>0.10806232159191723</v>
      </c>
      <c r="O13" s="45">
        <f>2368200/C13</f>
        <v>0.54429117118442283</v>
      </c>
      <c r="P13" s="50">
        <f>690616/C13</f>
        <v>0.15872653976805226</v>
      </c>
    </row>
    <row r="14" spans="1:16" x14ac:dyDescent="0.25">
      <c r="A14" s="40" t="s">
        <v>42</v>
      </c>
      <c r="B14" s="41" t="s">
        <v>43</v>
      </c>
      <c r="C14" s="42">
        <v>3235000</v>
      </c>
      <c r="D14" s="43">
        <f t="shared" si="1"/>
        <v>1.9149964807905442E-2</v>
      </c>
      <c r="E14" s="44">
        <f>3235000/C14</f>
        <v>1</v>
      </c>
      <c r="F14" s="45">
        <v>0</v>
      </c>
      <c r="G14" s="45">
        <v>0</v>
      </c>
      <c r="H14" s="50">
        <v>0</v>
      </c>
      <c r="I14" s="44">
        <f>3235000/C14</f>
        <v>1</v>
      </c>
      <c r="J14" s="45">
        <f>3235000/C14</f>
        <v>1</v>
      </c>
      <c r="K14" s="45">
        <v>0</v>
      </c>
      <c r="L14" s="50">
        <v>0</v>
      </c>
      <c r="M14" s="44">
        <f>105000/C14</f>
        <v>3.2457496136012363E-2</v>
      </c>
      <c r="N14" s="45">
        <f>375000/C14</f>
        <v>0.11591962905718702</v>
      </c>
      <c r="O14" s="45">
        <f>275500/C14</f>
        <v>8.5162287480680068E-2</v>
      </c>
      <c r="P14" s="50">
        <v>0</v>
      </c>
    </row>
    <row r="15" spans="1:16" x14ac:dyDescent="0.25">
      <c r="A15" s="40" t="s">
        <v>44</v>
      </c>
      <c r="B15" s="41" t="s">
        <v>45</v>
      </c>
      <c r="C15" s="42">
        <v>2956791.63</v>
      </c>
      <c r="D15" s="43">
        <f t="shared" si="1"/>
        <v>1.7503077483403205E-2</v>
      </c>
      <c r="E15" s="44">
        <f>2637708.04/C15</f>
        <v>0.89208451932745769</v>
      </c>
      <c r="F15" s="45">
        <v>0</v>
      </c>
      <c r="G15" s="45">
        <f>391083.59/C15</f>
        <v>0.13226619895430375</v>
      </c>
      <c r="H15" s="50">
        <v>0</v>
      </c>
      <c r="I15" s="44">
        <f>2842751.59/C15</f>
        <v>0.96143115434887783</v>
      </c>
      <c r="J15" s="45">
        <f>114040.04/C15</f>
        <v>3.8568845651122195E-2</v>
      </c>
      <c r="K15" s="45">
        <f>114040.04/C15</f>
        <v>3.8568845651122195E-2</v>
      </c>
      <c r="L15" s="50">
        <v>0</v>
      </c>
      <c r="M15" s="44">
        <v>0</v>
      </c>
      <c r="N15" s="45">
        <f>143598.59/C15</f>
        <v>4.8565677927057717E-2</v>
      </c>
      <c r="O15" s="45">
        <f>2563193.04/C15</f>
        <v>0.86688321692793757</v>
      </c>
      <c r="P15" s="50">
        <f>250000/C15</f>
        <v>8.455110514500476E-2</v>
      </c>
    </row>
    <row r="16" spans="1:16" ht="26.4" x14ac:dyDescent="0.25">
      <c r="A16" s="40" t="s">
        <v>39</v>
      </c>
      <c r="B16" s="41" t="s">
        <v>46</v>
      </c>
      <c r="C16" s="42">
        <v>2897975.92</v>
      </c>
      <c r="D16" s="43">
        <f t="shared" si="1"/>
        <v>1.7154910937297495E-2</v>
      </c>
      <c r="E16" s="36">
        <f>1922221.1/C16</f>
        <v>0.66329781649807507</v>
      </c>
      <c r="F16" s="45">
        <v>0</v>
      </c>
      <c r="G16" s="45">
        <f>975754.82/C16</f>
        <v>0.33670218350192499</v>
      </c>
      <c r="H16" s="50">
        <v>0</v>
      </c>
      <c r="I16" s="44">
        <f>2853290.92/C16</f>
        <v>0.98458061721920731</v>
      </c>
      <c r="J16" s="45">
        <f>44685/C16</f>
        <v>1.541938278079274E-2</v>
      </c>
      <c r="K16" s="45">
        <v>0</v>
      </c>
      <c r="L16" s="50">
        <v>0</v>
      </c>
      <c r="M16" s="44">
        <f>194985.95/C16</f>
        <v>6.7283495578527794E-2</v>
      </c>
      <c r="N16" s="45">
        <f>789940.69/C16</f>
        <v>0.27258359344821609</v>
      </c>
      <c r="O16" s="45">
        <f>181526.65/C16</f>
        <v>6.2639116062772532E-2</v>
      </c>
      <c r="P16" s="50">
        <f>1407574.63/C16</f>
        <v>0.48570956724857806</v>
      </c>
    </row>
    <row r="17" spans="1:3" x14ac:dyDescent="0.25">
      <c r="A17" s="1"/>
      <c r="B17" s="3"/>
      <c r="C17" s="6"/>
    </row>
    <row r="18" spans="1:3" x14ac:dyDescent="0.25">
      <c r="A18" s="1"/>
      <c r="B18" s="3"/>
      <c r="C18" s="6"/>
    </row>
    <row r="19" spans="1:3" x14ac:dyDescent="0.25">
      <c r="A19" s="1"/>
      <c r="B19" s="3"/>
      <c r="C19" s="6"/>
    </row>
    <row r="20" spans="1:3" x14ac:dyDescent="0.25">
      <c r="A20" s="1"/>
      <c r="B20" s="3"/>
      <c r="C20" s="6"/>
    </row>
    <row r="21" spans="1:3" x14ac:dyDescent="0.25">
      <c r="A21" s="1"/>
      <c r="B21" s="3"/>
      <c r="C21" s="6"/>
    </row>
    <row r="22" spans="1:3" x14ac:dyDescent="0.25">
      <c r="A22" s="1"/>
      <c r="B22" s="3"/>
      <c r="C22" s="6"/>
    </row>
    <row r="23" spans="1:3" x14ac:dyDescent="0.25">
      <c r="A23" s="1"/>
      <c r="B23" s="3"/>
      <c r="C23" s="6"/>
    </row>
    <row r="24" spans="1:3" x14ac:dyDescent="0.25">
      <c r="A24" s="1"/>
      <c r="B24" s="3"/>
      <c r="C24" s="6"/>
    </row>
    <row r="25" spans="1:3" x14ac:dyDescent="0.25">
      <c r="A25" s="1"/>
      <c r="B25" s="3"/>
      <c r="C25" s="6"/>
    </row>
    <row r="26" spans="1:3" x14ac:dyDescent="0.25">
      <c r="A26" s="1"/>
      <c r="B26" s="3"/>
      <c r="C26" s="6"/>
    </row>
    <row r="27" spans="1:3" x14ac:dyDescent="0.25">
      <c r="A27" s="1"/>
      <c r="B27" s="3"/>
      <c r="C27" s="6"/>
    </row>
    <row r="28" spans="1:3" x14ac:dyDescent="0.25">
      <c r="A28" s="1"/>
      <c r="B28" s="3"/>
      <c r="C28" s="6"/>
    </row>
    <row r="29" spans="1:3" x14ac:dyDescent="0.25">
      <c r="A29" s="1"/>
      <c r="B29" s="3"/>
      <c r="C29" s="6"/>
    </row>
    <row r="30" spans="1:3" x14ac:dyDescent="0.25">
      <c r="A30" s="1"/>
      <c r="B30" s="3"/>
      <c r="C30" s="6"/>
    </row>
    <row r="31" spans="1:3" x14ac:dyDescent="0.25">
      <c r="A31" s="1"/>
      <c r="B31" s="3"/>
      <c r="C31" s="6"/>
    </row>
    <row r="32" spans="1:3" x14ac:dyDescent="0.25">
      <c r="A32" s="1"/>
      <c r="B32" s="3"/>
      <c r="C32" s="6"/>
    </row>
    <row r="33" spans="1:3" x14ac:dyDescent="0.25">
      <c r="A33" s="1"/>
      <c r="B33" s="3"/>
      <c r="C33" s="6"/>
    </row>
    <row r="34" spans="1:3" x14ac:dyDescent="0.25">
      <c r="A34" s="1"/>
      <c r="B34" s="3"/>
      <c r="C34" s="6"/>
    </row>
    <row r="35" spans="1:3" x14ac:dyDescent="0.25">
      <c r="A35" s="1"/>
      <c r="B35" s="3"/>
      <c r="C35" s="6"/>
    </row>
    <row r="36" spans="1:3" x14ac:dyDescent="0.25">
      <c r="A36" s="1"/>
      <c r="B36" s="3"/>
      <c r="C36" s="6"/>
    </row>
    <row r="37" spans="1:3" x14ac:dyDescent="0.25">
      <c r="A37" s="1"/>
      <c r="B37" s="3"/>
      <c r="C37" s="6"/>
    </row>
    <row r="38" spans="1:3" x14ac:dyDescent="0.25">
      <c r="A38" s="1"/>
      <c r="B38" s="3"/>
      <c r="C38" s="6"/>
    </row>
    <row r="39" spans="1:3" x14ac:dyDescent="0.25">
      <c r="A39" s="1"/>
      <c r="B39" s="3"/>
      <c r="C39" s="6"/>
    </row>
    <row r="40" spans="1:3" x14ac:dyDescent="0.25">
      <c r="A40" s="1"/>
      <c r="B40" s="3"/>
      <c r="C40" s="6"/>
    </row>
    <row r="41" spans="1:3" x14ac:dyDescent="0.25">
      <c r="A41" s="1"/>
      <c r="B41" s="3"/>
      <c r="C41" s="6"/>
    </row>
    <row r="42" spans="1:3" x14ac:dyDescent="0.25">
      <c r="A42" s="1"/>
      <c r="B42" s="3"/>
      <c r="C42" s="6"/>
    </row>
    <row r="43" spans="1:3" x14ac:dyDescent="0.25">
      <c r="A43" s="1"/>
      <c r="B43" s="3"/>
      <c r="C43" s="6"/>
    </row>
    <row r="44" spans="1:3" x14ac:dyDescent="0.25">
      <c r="A44" s="1"/>
      <c r="B44" s="3"/>
      <c r="C44" s="6"/>
    </row>
    <row r="45" spans="1:3" x14ac:dyDescent="0.25">
      <c r="A45" s="1"/>
      <c r="B45" s="3"/>
      <c r="C45" s="6"/>
    </row>
    <row r="46" spans="1:3" x14ac:dyDescent="0.25">
      <c r="A46" s="1"/>
      <c r="B46" s="3"/>
      <c r="C46" s="6"/>
    </row>
    <row r="47" spans="1:3" x14ac:dyDescent="0.25">
      <c r="A47" s="1"/>
      <c r="B47" s="3"/>
      <c r="C47" s="6"/>
    </row>
    <row r="48" spans="1:3" x14ac:dyDescent="0.25">
      <c r="A48" s="1"/>
      <c r="B48" s="3"/>
      <c r="C48" s="6"/>
    </row>
    <row r="49" spans="1:3" x14ac:dyDescent="0.25">
      <c r="A49" s="1"/>
      <c r="B49" s="3"/>
      <c r="C49" s="6"/>
    </row>
    <row r="50" spans="1:3" x14ac:dyDescent="0.25">
      <c r="A50" s="1"/>
      <c r="B50" s="3"/>
      <c r="C50" s="6"/>
    </row>
    <row r="51" spans="1:3" x14ac:dyDescent="0.25">
      <c r="A51" s="1"/>
      <c r="B51" s="3"/>
      <c r="C51" s="6"/>
    </row>
    <row r="52" spans="1:3" x14ac:dyDescent="0.25">
      <c r="A52" s="1"/>
      <c r="B52" s="3"/>
      <c r="C52" s="6"/>
    </row>
    <row r="53" spans="1:3" x14ac:dyDescent="0.25">
      <c r="A53" s="1"/>
      <c r="B53" s="3"/>
      <c r="C53" s="6"/>
    </row>
    <row r="54" spans="1:3" x14ac:dyDescent="0.25">
      <c r="A54" s="1"/>
      <c r="B54" s="3"/>
      <c r="C54" s="6"/>
    </row>
    <row r="55" spans="1:3" x14ac:dyDescent="0.25">
      <c r="A55" s="1"/>
      <c r="B55" s="3"/>
      <c r="C55" s="6"/>
    </row>
    <row r="56" spans="1:3" x14ac:dyDescent="0.25">
      <c r="A56" s="1"/>
      <c r="B56" s="3"/>
      <c r="C56" s="6"/>
    </row>
    <row r="57" spans="1:3" x14ac:dyDescent="0.25">
      <c r="A57" s="1"/>
      <c r="B57" s="3"/>
      <c r="C57" s="6"/>
    </row>
    <row r="58" spans="1:3" x14ac:dyDescent="0.25">
      <c r="A58" s="1"/>
      <c r="B58" s="3"/>
      <c r="C58" s="6"/>
    </row>
    <row r="59" spans="1:3" x14ac:dyDescent="0.25">
      <c r="A59" s="1"/>
      <c r="B59" s="3"/>
      <c r="C59" s="6"/>
    </row>
    <row r="60" spans="1:3" x14ac:dyDescent="0.25">
      <c r="A60" s="1"/>
      <c r="B60" s="3"/>
      <c r="C60" s="6"/>
    </row>
    <row r="61" spans="1:3" x14ac:dyDescent="0.25">
      <c r="A61" s="1"/>
      <c r="B61" s="3"/>
      <c r="C61" s="6"/>
    </row>
    <row r="62" spans="1:3" x14ac:dyDescent="0.25">
      <c r="A62" s="1"/>
      <c r="B62" s="3"/>
      <c r="C62" s="6"/>
    </row>
    <row r="63" spans="1:3" x14ac:dyDescent="0.25">
      <c r="A63" s="1"/>
      <c r="B63" s="3"/>
      <c r="C63" s="6"/>
    </row>
    <row r="64" spans="1:3" x14ac:dyDescent="0.25">
      <c r="A64" s="1"/>
      <c r="B64" s="3"/>
      <c r="C64" s="6"/>
    </row>
    <row r="65" spans="1:3" x14ac:dyDescent="0.25">
      <c r="A65" s="1"/>
      <c r="B65" s="3"/>
      <c r="C65" s="6"/>
    </row>
    <row r="66" spans="1:3" x14ac:dyDescent="0.25">
      <c r="A66" s="1"/>
      <c r="B66" s="3"/>
      <c r="C66" s="6"/>
    </row>
    <row r="67" spans="1:3" x14ac:dyDescent="0.25">
      <c r="A67" s="1"/>
      <c r="B67" s="3"/>
      <c r="C67" s="6"/>
    </row>
    <row r="68" spans="1:3" x14ac:dyDescent="0.25">
      <c r="A68" s="1"/>
      <c r="B68" s="3"/>
      <c r="C68" s="6"/>
    </row>
    <row r="69" spans="1:3" x14ac:dyDescent="0.25">
      <c r="A69" s="1"/>
      <c r="B69" s="3"/>
      <c r="C69" s="6"/>
    </row>
    <row r="70" spans="1:3" x14ac:dyDescent="0.25">
      <c r="A70" s="1"/>
      <c r="B70" s="3"/>
      <c r="C70" s="6"/>
    </row>
    <row r="71" spans="1:3" x14ac:dyDescent="0.25">
      <c r="A71" s="1"/>
      <c r="B71" s="3"/>
      <c r="C71" s="6"/>
    </row>
    <row r="72" spans="1:3" x14ac:dyDescent="0.25">
      <c r="A72" s="1"/>
      <c r="B72" s="3"/>
      <c r="C72" s="6"/>
    </row>
    <row r="73" spans="1:3" x14ac:dyDescent="0.25">
      <c r="A73" s="1"/>
      <c r="B73" s="3"/>
      <c r="C73" s="6"/>
    </row>
    <row r="74" spans="1:3" x14ac:dyDescent="0.25">
      <c r="A74" s="1"/>
      <c r="B74" s="3"/>
      <c r="C74" s="6"/>
    </row>
    <row r="75" spans="1:3" x14ac:dyDescent="0.25">
      <c r="A75" s="1"/>
      <c r="B75" s="3"/>
      <c r="C75" s="6"/>
    </row>
    <row r="76" spans="1:3" x14ac:dyDescent="0.25">
      <c r="A76" s="1"/>
      <c r="B76" s="3"/>
      <c r="C76" s="6"/>
    </row>
    <row r="77" spans="1:3" x14ac:dyDescent="0.25">
      <c r="A77" s="1"/>
      <c r="B77" s="3"/>
      <c r="C77" s="6"/>
    </row>
    <row r="78" spans="1:3" x14ac:dyDescent="0.25">
      <c r="A78" s="1"/>
      <c r="B78" s="3"/>
      <c r="C78" s="6"/>
    </row>
    <row r="79" spans="1:3" x14ac:dyDescent="0.25">
      <c r="A79" s="1"/>
      <c r="B79" s="3"/>
      <c r="C79" s="6"/>
    </row>
    <row r="80" spans="1:3" x14ac:dyDescent="0.25">
      <c r="A80" s="1"/>
      <c r="B80" s="3"/>
      <c r="C80" s="6"/>
    </row>
    <row r="81" spans="1:3" x14ac:dyDescent="0.25">
      <c r="A81" s="1"/>
      <c r="B81" s="3"/>
      <c r="C81" s="6"/>
    </row>
    <row r="82" spans="1:3" x14ac:dyDescent="0.25">
      <c r="A82" s="1"/>
      <c r="B82" s="3"/>
      <c r="C82" s="6"/>
    </row>
    <row r="83" spans="1:3" x14ac:dyDescent="0.25">
      <c r="A83" s="1"/>
      <c r="B83" s="3"/>
      <c r="C83" s="6"/>
    </row>
    <row r="84" spans="1:3" x14ac:dyDescent="0.25">
      <c r="A84" s="1"/>
      <c r="B84" s="3"/>
      <c r="C84" s="6"/>
    </row>
    <row r="85" spans="1:3" x14ac:dyDescent="0.25">
      <c r="A85" s="1"/>
      <c r="B85" s="3"/>
      <c r="C85" s="6"/>
    </row>
    <row r="86" spans="1:3" x14ac:dyDescent="0.25">
      <c r="A86" s="1"/>
      <c r="B86" s="3"/>
      <c r="C86" s="6"/>
    </row>
    <row r="87" spans="1:3" x14ac:dyDescent="0.25">
      <c r="A87" s="1"/>
      <c r="B87" s="3"/>
      <c r="C87" s="6"/>
    </row>
    <row r="88" spans="1:3" x14ac:dyDescent="0.25">
      <c r="A88" s="1"/>
      <c r="B88" s="3"/>
      <c r="C88" s="6"/>
    </row>
    <row r="89" spans="1:3" x14ac:dyDescent="0.25">
      <c r="A89" s="1"/>
      <c r="B89" s="3"/>
      <c r="C89" s="6"/>
    </row>
    <row r="90" spans="1:3" x14ac:dyDescent="0.25">
      <c r="A90" s="1"/>
      <c r="B90" s="3"/>
      <c r="C90" s="6"/>
    </row>
    <row r="91" spans="1:3" x14ac:dyDescent="0.25">
      <c r="A91" s="1"/>
      <c r="B91" s="3"/>
      <c r="C91" s="6"/>
    </row>
    <row r="92" spans="1:3" x14ac:dyDescent="0.25">
      <c r="A92" s="1"/>
      <c r="B92" s="3"/>
      <c r="C92" s="6"/>
    </row>
    <row r="93" spans="1:3" x14ac:dyDescent="0.25">
      <c r="A93" s="1"/>
      <c r="B93" s="3"/>
      <c r="C93" s="6"/>
    </row>
    <row r="94" spans="1:3" x14ac:dyDescent="0.25">
      <c r="A94" s="1"/>
      <c r="B94" s="3"/>
      <c r="C94" s="6"/>
    </row>
    <row r="95" spans="1:3" x14ac:dyDescent="0.25">
      <c r="A95" s="1"/>
      <c r="B95" s="3"/>
      <c r="C95" s="6"/>
    </row>
    <row r="96" spans="1:3" x14ac:dyDescent="0.25">
      <c r="A96" s="1"/>
      <c r="B96" s="3"/>
      <c r="C96" s="6"/>
    </row>
    <row r="97" spans="1:3" x14ac:dyDescent="0.25">
      <c r="A97" s="1"/>
      <c r="B97" s="3"/>
      <c r="C97" s="6"/>
    </row>
    <row r="98" spans="1:3" x14ac:dyDescent="0.25">
      <c r="A98" s="1"/>
      <c r="B98" s="3"/>
      <c r="C98" s="6"/>
    </row>
    <row r="99" spans="1:3" x14ac:dyDescent="0.25">
      <c r="A99" s="1"/>
      <c r="B99" s="3"/>
      <c r="C99" s="6"/>
    </row>
    <row r="100" spans="1:3" x14ac:dyDescent="0.25">
      <c r="A100" s="1"/>
      <c r="B100" s="3"/>
      <c r="C100" s="6"/>
    </row>
    <row r="101" spans="1:3" x14ac:dyDescent="0.25">
      <c r="A101" s="1"/>
      <c r="B101" s="3"/>
      <c r="C101" s="6"/>
    </row>
    <row r="102" spans="1:3" x14ac:dyDescent="0.25">
      <c r="A102" s="1"/>
      <c r="B102" s="3"/>
      <c r="C102" s="6"/>
    </row>
    <row r="103" spans="1:3" x14ac:dyDescent="0.25">
      <c r="A103" s="1"/>
      <c r="B103" s="3"/>
      <c r="C103" s="6"/>
    </row>
    <row r="104" spans="1:3" x14ac:dyDescent="0.25">
      <c r="A104" s="1"/>
      <c r="B104" s="3"/>
      <c r="C104" s="6"/>
    </row>
  </sheetData>
  <mergeCells count="8">
    <mergeCell ref="A4:B4"/>
    <mergeCell ref="A6:P6"/>
    <mergeCell ref="E1:H1"/>
    <mergeCell ref="E2:H2"/>
    <mergeCell ref="I1:L1"/>
    <mergeCell ref="I2:L2"/>
    <mergeCell ref="M1:P1"/>
    <mergeCell ref="M2:P2"/>
  </mergeCells>
  <printOptions horizontalCentered="1"/>
  <pageMargins left="0.25" right="0.25" top="0.75" bottom="0.75" header="0.5" footer="0.5"/>
  <pageSetup scale="59" fitToHeight="2" orientation="landscape" r:id="rId1"/>
  <headerFooter alignWithMargins="0">
    <oddHeader>&amp;L&amp;8Appendix C - Inventory Summary - NRC FY 2015</oddHeader>
    <oddFooter>&amp;C&amp;8Page 1 of 2&amp;R&amp;8-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topLeftCell="A2" zoomScaleNormal="100" workbookViewId="0">
      <pane xSplit="1" topLeftCell="B1" activePane="topRight" state="frozen"/>
      <selection pane="topRight" activeCell="A15" sqref="A15"/>
    </sheetView>
  </sheetViews>
  <sheetFormatPr defaultRowHeight="13.2" x14ac:dyDescent="0.25"/>
  <cols>
    <col min="1" max="1" width="17.88671875" customWidth="1"/>
    <col min="2" max="2" width="57.88671875" style="4" customWidth="1"/>
    <col min="3" max="3" width="17.88671875" customWidth="1"/>
    <col min="4" max="4" width="10.33203125" customWidth="1"/>
    <col min="5" max="5" width="13.44140625" bestFit="1" customWidth="1"/>
    <col min="8" max="8" width="12.33203125" bestFit="1" customWidth="1"/>
    <col min="9" max="9" width="10.44140625" customWidth="1"/>
  </cols>
  <sheetData>
    <row r="1" spans="1:11" x14ac:dyDescent="0.25">
      <c r="A1" s="28"/>
      <c r="B1" s="29"/>
      <c r="C1" s="28"/>
      <c r="D1" s="20"/>
      <c r="E1" s="72" t="s">
        <v>29</v>
      </c>
      <c r="F1" s="73"/>
      <c r="G1" s="73"/>
      <c r="H1" s="73"/>
      <c r="I1" s="73"/>
      <c r="J1" s="73"/>
      <c r="K1" s="74"/>
    </row>
    <row r="2" spans="1:11" ht="13.8" thickBot="1" x14ac:dyDescent="0.3">
      <c r="A2" s="28"/>
      <c r="B2" s="29"/>
      <c r="C2" s="28"/>
      <c r="D2" s="20"/>
      <c r="E2" s="72" t="s">
        <v>27</v>
      </c>
      <c r="F2" s="73"/>
      <c r="G2" s="73"/>
      <c r="H2" s="73"/>
      <c r="I2" s="73"/>
      <c r="J2" s="73"/>
      <c r="K2" s="74"/>
    </row>
    <row r="3" spans="1:11" s="4" customFormat="1" ht="26.4" x14ac:dyDescent="0.25">
      <c r="A3" s="30"/>
      <c r="B3" s="31"/>
      <c r="C3" s="31" t="s">
        <v>4</v>
      </c>
      <c r="D3" s="33" t="s">
        <v>11</v>
      </c>
      <c r="E3" s="21" t="s">
        <v>5</v>
      </c>
      <c r="F3" s="22" t="s">
        <v>6</v>
      </c>
      <c r="G3" s="23" t="s">
        <v>12</v>
      </c>
      <c r="H3" s="22" t="s">
        <v>7</v>
      </c>
      <c r="I3" s="23" t="s">
        <v>30</v>
      </c>
      <c r="J3" s="22" t="s">
        <v>8</v>
      </c>
      <c r="K3" s="24" t="s">
        <v>9</v>
      </c>
    </row>
    <row r="4" spans="1:11" x14ac:dyDescent="0.25">
      <c r="A4" s="70" t="s">
        <v>10</v>
      </c>
      <c r="B4" s="71"/>
      <c r="C4" s="10"/>
      <c r="D4" s="9"/>
      <c r="E4" s="25"/>
      <c r="F4" s="26"/>
      <c r="G4" s="26"/>
      <c r="H4" s="26"/>
      <c r="I4" s="26"/>
      <c r="J4" s="26"/>
      <c r="K4" s="27"/>
    </row>
    <row r="5" spans="1:11" ht="26.4" x14ac:dyDescent="0.25">
      <c r="A5" s="40" t="s">
        <v>47</v>
      </c>
      <c r="B5" s="41" t="s">
        <v>48</v>
      </c>
      <c r="C5" s="42">
        <v>2825499</v>
      </c>
      <c r="D5" s="43">
        <f t="shared" ref="D5" si="0">C5/168929814.36</f>
        <v>1.6725875244133548E-2</v>
      </c>
      <c r="E5" s="44">
        <f>443612.35/C5</f>
        <v>0.15700318775550795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3">
        <v>0</v>
      </c>
    </row>
    <row r="6" spans="1:11" x14ac:dyDescent="0.2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x14ac:dyDescent="0.25">
      <c r="A7" s="46" t="s">
        <v>3</v>
      </c>
      <c r="B7" s="47"/>
      <c r="C7" s="48"/>
      <c r="D7" s="48"/>
      <c r="E7" s="48"/>
      <c r="F7" s="48"/>
      <c r="G7" s="48"/>
      <c r="H7" s="48"/>
      <c r="I7" s="48"/>
      <c r="J7" s="48"/>
      <c r="K7" s="49"/>
    </row>
    <row r="8" spans="1:11" x14ac:dyDescent="0.25">
      <c r="A8" s="34" t="s">
        <v>0</v>
      </c>
      <c r="B8" s="35" t="s">
        <v>32</v>
      </c>
      <c r="C8" s="42">
        <v>120907610.06</v>
      </c>
      <c r="D8" s="43">
        <f>C8/168929814.36</f>
        <v>0.71572688644728111</v>
      </c>
      <c r="E8" s="44">
        <f>11867306.26/C8</f>
        <v>9.8151855405221297E-2</v>
      </c>
      <c r="F8" s="45">
        <f>2096756.17/C8</f>
        <v>1.7341804779364107E-2</v>
      </c>
      <c r="G8" s="45">
        <f>4660448.58/C8</f>
        <v>3.8545535534837451E-2</v>
      </c>
      <c r="H8" s="45">
        <f>170111/C8</f>
        <v>1.4069503145052902E-3</v>
      </c>
      <c r="I8" s="45">
        <v>0</v>
      </c>
      <c r="J8" s="45">
        <f>150000/C8</f>
        <v>1.2406166983663228E-3</v>
      </c>
      <c r="K8" s="50">
        <f>4136672.71/C8</f>
        <v>3.4213501598015124E-2</v>
      </c>
    </row>
    <row r="9" spans="1:11" x14ac:dyDescent="0.25">
      <c r="A9" s="34" t="s">
        <v>35</v>
      </c>
      <c r="B9" s="35" t="s">
        <v>36</v>
      </c>
      <c r="C9" s="42">
        <v>11657725.57</v>
      </c>
      <c r="D9" s="43">
        <f t="shared" ref="D9:D16" si="1">C9/168929814.36</f>
        <v>6.9009284205786531E-2</v>
      </c>
      <c r="E9" s="36">
        <f>8853380.88/C9</f>
        <v>0.759443240179139</v>
      </c>
      <c r="F9" s="37">
        <v>0</v>
      </c>
      <c r="G9" s="37">
        <f>1775000/C9</f>
        <v>0.15225954577004167</v>
      </c>
      <c r="H9" s="45">
        <f>385000/C9</f>
        <v>3.3025309927586503E-2</v>
      </c>
      <c r="I9" s="37">
        <v>0</v>
      </c>
      <c r="J9" s="37">
        <v>0</v>
      </c>
      <c r="K9" s="38">
        <f>75000/C9</f>
        <v>6.4335019339454222E-3</v>
      </c>
    </row>
    <row r="10" spans="1:11" x14ac:dyDescent="0.25">
      <c r="A10" s="34" t="s">
        <v>1</v>
      </c>
      <c r="B10" s="35" t="s">
        <v>33</v>
      </c>
      <c r="C10" s="42">
        <v>10405967.09</v>
      </c>
      <c r="D10" s="43">
        <f t="shared" si="1"/>
        <v>6.1599351952309804E-2</v>
      </c>
      <c r="E10" s="44">
        <f>1837605.24/C10</f>
        <v>0.17659149064250981</v>
      </c>
      <c r="F10" s="45">
        <f>1349636.47/C10</f>
        <v>0.12969832196538303</v>
      </c>
      <c r="G10" s="45">
        <f>1388557.24/C10</f>
        <v>0.13343855770353008</v>
      </c>
      <c r="H10" s="45">
        <f>245638.5/C10</f>
        <v>2.3605542654085022E-2</v>
      </c>
      <c r="I10" s="45">
        <f>202000/C10</f>
        <v>1.9411939154998809E-2</v>
      </c>
      <c r="J10" s="45">
        <f>45000/C10</f>
        <v>4.3244418909650813E-3</v>
      </c>
      <c r="K10" s="50">
        <f>294901.74/C10</f>
        <v>2.8339676403877613E-2</v>
      </c>
    </row>
    <row r="11" spans="1:11" x14ac:dyDescent="0.25">
      <c r="A11" s="34" t="s">
        <v>37</v>
      </c>
      <c r="B11" s="35" t="s">
        <v>38</v>
      </c>
      <c r="C11" s="42">
        <v>4046951.83</v>
      </c>
      <c r="D11" s="43">
        <f t="shared" si="1"/>
        <v>2.3956409620954727E-2</v>
      </c>
      <c r="E11" s="44">
        <f>4046951.83/C11</f>
        <v>1</v>
      </c>
      <c r="F11" s="45">
        <f>3459719.83/C11</f>
        <v>0.85489523358127051</v>
      </c>
      <c r="G11" s="45">
        <f>3459719.83/C11</f>
        <v>0.85489523358127051</v>
      </c>
      <c r="H11" s="45">
        <v>0</v>
      </c>
      <c r="I11" s="45">
        <v>0</v>
      </c>
      <c r="J11" s="45">
        <v>0</v>
      </c>
      <c r="K11" s="50">
        <v>0</v>
      </c>
    </row>
    <row r="12" spans="1:11" x14ac:dyDescent="0.25">
      <c r="A12" s="34" t="s">
        <v>2</v>
      </c>
      <c r="B12" s="35" t="s">
        <v>34</v>
      </c>
      <c r="C12" s="42">
        <v>5907275.0800000001</v>
      </c>
      <c r="D12" s="43">
        <f t="shared" si="1"/>
        <v>3.4968812949804272E-2</v>
      </c>
      <c r="E12" s="44">
        <f>5492024.16/C12</f>
        <v>0.92970516619314092</v>
      </c>
      <c r="F12" s="45">
        <f>1349636.47/C12</f>
        <v>0.22847022556464391</v>
      </c>
      <c r="G12" s="45">
        <f>5051024.16/C12</f>
        <v>0.85505145631376289</v>
      </c>
      <c r="H12" s="45">
        <f>904999.79/C12</f>
        <v>0.15320088835273946</v>
      </c>
      <c r="I12" s="45">
        <f>350000/C12</f>
        <v>5.9248976094744513E-2</v>
      </c>
      <c r="J12" s="45">
        <f>345000/C12</f>
        <v>5.8402562150533882E-2</v>
      </c>
      <c r="K12" s="50">
        <f>488906.54/C12</f>
        <v>8.2763462574355004E-2</v>
      </c>
    </row>
    <row r="13" spans="1:11" x14ac:dyDescent="0.25">
      <c r="A13" s="40" t="s">
        <v>40</v>
      </c>
      <c r="B13" s="41" t="s">
        <v>41</v>
      </c>
      <c r="C13" s="42">
        <v>4350980</v>
      </c>
      <c r="D13" s="43">
        <f t="shared" si="1"/>
        <v>2.575614030290585E-2</v>
      </c>
      <c r="E13" s="51">
        <v>0</v>
      </c>
      <c r="F13" s="45">
        <v>0</v>
      </c>
      <c r="G13" s="51">
        <v>0</v>
      </c>
      <c r="H13" s="45">
        <v>0</v>
      </c>
      <c r="I13" s="45">
        <v>0</v>
      </c>
      <c r="J13" s="45">
        <v>0</v>
      </c>
      <c r="K13" s="43">
        <v>0</v>
      </c>
    </row>
    <row r="14" spans="1:11" x14ac:dyDescent="0.25">
      <c r="A14" s="40" t="s">
        <v>42</v>
      </c>
      <c r="B14" s="41" t="s">
        <v>43</v>
      </c>
      <c r="C14" s="42">
        <v>3235000</v>
      </c>
      <c r="D14" s="43">
        <f t="shared" si="1"/>
        <v>1.9149964807905442E-2</v>
      </c>
      <c r="E14" s="44">
        <f>3235000/C14</f>
        <v>1</v>
      </c>
      <c r="F14" s="45">
        <v>0</v>
      </c>
      <c r="G14" s="51">
        <v>0</v>
      </c>
      <c r="H14" s="45">
        <v>0</v>
      </c>
      <c r="I14" s="45">
        <v>0</v>
      </c>
      <c r="J14" s="45">
        <f>3235000/C14</f>
        <v>1</v>
      </c>
      <c r="K14" s="50">
        <v>0</v>
      </c>
    </row>
    <row r="15" spans="1:11" x14ac:dyDescent="0.25">
      <c r="A15" s="40" t="s">
        <v>44</v>
      </c>
      <c r="B15" s="41" t="s">
        <v>45</v>
      </c>
      <c r="C15" s="42">
        <v>2956791.63</v>
      </c>
      <c r="D15" s="43">
        <f t="shared" si="1"/>
        <v>1.7503077483403205E-2</v>
      </c>
      <c r="E15" s="44">
        <f>2637708.04/C15</f>
        <v>0.89208451932745769</v>
      </c>
      <c r="F15" s="45">
        <f>114040.04/C15</f>
        <v>3.8568845651122195E-2</v>
      </c>
      <c r="G15" s="45">
        <f>114040.04/C15</f>
        <v>3.8568845651122195E-2</v>
      </c>
      <c r="H15" s="45">
        <v>0</v>
      </c>
      <c r="I15" s="45">
        <v>0</v>
      </c>
      <c r="J15" s="45">
        <v>0</v>
      </c>
      <c r="K15" s="50">
        <v>0</v>
      </c>
    </row>
    <row r="16" spans="1:11" ht="26.4" x14ac:dyDescent="0.25">
      <c r="A16" s="40" t="s">
        <v>39</v>
      </c>
      <c r="B16" s="41" t="s">
        <v>46</v>
      </c>
      <c r="C16" s="42">
        <v>2897975.92</v>
      </c>
      <c r="D16" s="43">
        <f t="shared" si="1"/>
        <v>1.7154910937297495E-2</v>
      </c>
      <c r="E16" s="44">
        <f>1065982.94/C16</f>
        <v>0.36783705918439791</v>
      </c>
      <c r="F16" s="45">
        <f>181461/C16</f>
        <v>6.2616462320363248E-2</v>
      </c>
      <c r="G16" s="45">
        <f>312076.13/C16</f>
        <v>0.10768762012349641</v>
      </c>
      <c r="H16" s="45">
        <f>221900.72/C16</f>
        <v>7.657093299795259E-2</v>
      </c>
      <c r="I16" s="45">
        <f>221900.72/C16</f>
        <v>7.657093299795259E-2</v>
      </c>
      <c r="J16" s="45">
        <f>181461/C16</f>
        <v>6.2616462320363248E-2</v>
      </c>
      <c r="K16" s="43">
        <v>0</v>
      </c>
    </row>
    <row r="17" spans="1:3" x14ac:dyDescent="0.25">
      <c r="A17" s="1"/>
      <c r="B17" s="3"/>
      <c r="C17" s="2"/>
    </row>
    <row r="18" spans="1:3" x14ac:dyDescent="0.25">
      <c r="A18" s="1"/>
      <c r="B18" s="3"/>
      <c r="C18" s="2"/>
    </row>
    <row r="19" spans="1:3" x14ac:dyDescent="0.25">
      <c r="A19" s="1"/>
      <c r="B19" s="3"/>
      <c r="C19" s="2"/>
    </row>
    <row r="20" spans="1:3" x14ac:dyDescent="0.25">
      <c r="A20" s="1"/>
      <c r="B20" s="3"/>
      <c r="C20" s="2"/>
    </row>
    <row r="21" spans="1:3" x14ac:dyDescent="0.25">
      <c r="A21" s="1"/>
      <c r="B21" s="3"/>
      <c r="C21" s="2"/>
    </row>
    <row r="22" spans="1:3" x14ac:dyDescent="0.25">
      <c r="A22" s="1"/>
      <c r="B22" s="3"/>
      <c r="C22" s="2"/>
    </row>
    <row r="23" spans="1:3" x14ac:dyDescent="0.25">
      <c r="A23" s="1"/>
      <c r="B23" s="3"/>
      <c r="C23" s="2"/>
    </row>
    <row r="24" spans="1:3" x14ac:dyDescent="0.25">
      <c r="A24" s="1"/>
      <c r="B24" s="3"/>
      <c r="C24" s="2"/>
    </row>
    <row r="25" spans="1:3" x14ac:dyDescent="0.25">
      <c r="A25" s="1"/>
      <c r="B25" s="3"/>
      <c r="C25" s="2"/>
    </row>
    <row r="26" spans="1:3" x14ac:dyDescent="0.25">
      <c r="A26" s="1"/>
      <c r="B26" s="3"/>
      <c r="C26" s="2"/>
    </row>
    <row r="27" spans="1:3" x14ac:dyDescent="0.25">
      <c r="A27" s="1"/>
      <c r="B27" s="3"/>
      <c r="C27" s="2"/>
    </row>
    <row r="28" spans="1:3" x14ac:dyDescent="0.25">
      <c r="A28" s="1"/>
      <c r="B28" s="3"/>
      <c r="C28" s="2"/>
    </row>
    <row r="29" spans="1:3" x14ac:dyDescent="0.25">
      <c r="A29" s="1"/>
      <c r="B29" s="3"/>
      <c r="C29" s="2"/>
    </row>
    <row r="30" spans="1:3" x14ac:dyDescent="0.25">
      <c r="A30" s="1"/>
      <c r="B30" s="3"/>
      <c r="C30" s="2"/>
    </row>
    <row r="31" spans="1:3" x14ac:dyDescent="0.25">
      <c r="A31" s="1"/>
      <c r="B31" s="3"/>
      <c r="C31" s="2"/>
    </row>
    <row r="32" spans="1:3" x14ac:dyDescent="0.25">
      <c r="A32" s="1"/>
      <c r="B32" s="3"/>
      <c r="C32" s="2"/>
    </row>
    <row r="33" spans="1:3" x14ac:dyDescent="0.25">
      <c r="A33" s="1"/>
      <c r="B33" s="3"/>
      <c r="C33" s="2"/>
    </row>
    <row r="34" spans="1:3" x14ac:dyDescent="0.25">
      <c r="A34" s="1"/>
      <c r="B34" s="3"/>
      <c r="C34" s="2"/>
    </row>
    <row r="35" spans="1:3" x14ac:dyDescent="0.25">
      <c r="A35" s="1"/>
      <c r="B35" s="3"/>
      <c r="C35" s="2"/>
    </row>
    <row r="36" spans="1:3" x14ac:dyDescent="0.25">
      <c r="A36" s="1"/>
      <c r="B36" s="3"/>
      <c r="C36" s="2"/>
    </row>
    <row r="37" spans="1:3" x14ac:dyDescent="0.25">
      <c r="A37" s="1"/>
      <c r="B37" s="3"/>
      <c r="C37" s="2"/>
    </row>
    <row r="38" spans="1:3" x14ac:dyDescent="0.25">
      <c r="A38" s="1"/>
      <c r="B38" s="3"/>
      <c r="C38" s="2"/>
    </row>
    <row r="39" spans="1:3" x14ac:dyDescent="0.25">
      <c r="A39" s="1"/>
      <c r="B39" s="3"/>
      <c r="C39" s="2"/>
    </row>
    <row r="40" spans="1:3" x14ac:dyDescent="0.25">
      <c r="A40" s="1"/>
      <c r="B40" s="3"/>
      <c r="C40" s="2"/>
    </row>
    <row r="41" spans="1:3" x14ac:dyDescent="0.25">
      <c r="A41" s="1"/>
      <c r="B41" s="3"/>
      <c r="C41" s="2"/>
    </row>
    <row r="42" spans="1:3" x14ac:dyDescent="0.25">
      <c r="A42" s="1"/>
      <c r="B42" s="3"/>
      <c r="C42" s="2"/>
    </row>
    <row r="43" spans="1:3" x14ac:dyDescent="0.25">
      <c r="A43" s="1"/>
      <c r="B43" s="3"/>
      <c r="C43" s="2"/>
    </row>
    <row r="44" spans="1:3" x14ac:dyDescent="0.25">
      <c r="A44" s="1"/>
      <c r="B44" s="3"/>
      <c r="C44" s="2"/>
    </row>
    <row r="45" spans="1:3" x14ac:dyDescent="0.25">
      <c r="A45" s="1"/>
      <c r="B45" s="3"/>
      <c r="C45" s="2"/>
    </row>
    <row r="46" spans="1:3" x14ac:dyDescent="0.25">
      <c r="A46" s="1"/>
      <c r="B46" s="3"/>
      <c r="C46" s="2"/>
    </row>
    <row r="47" spans="1:3" x14ac:dyDescent="0.25">
      <c r="A47" s="1"/>
      <c r="B47" s="3"/>
      <c r="C47" s="2"/>
    </row>
    <row r="48" spans="1:3" x14ac:dyDescent="0.25">
      <c r="A48" s="1"/>
      <c r="B48" s="3"/>
      <c r="C48" s="2"/>
    </row>
    <row r="49" spans="1:3" x14ac:dyDescent="0.25">
      <c r="A49" s="1"/>
      <c r="B49" s="3"/>
      <c r="C49" s="2"/>
    </row>
    <row r="50" spans="1:3" x14ac:dyDescent="0.25">
      <c r="A50" s="1"/>
      <c r="B50" s="3"/>
      <c r="C50" s="2"/>
    </row>
    <row r="51" spans="1:3" x14ac:dyDescent="0.25">
      <c r="A51" s="1"/>
      <c r="B51" s="3"/>
      <c r="C51" s="2"/>
    </row>
    <row r="52" spans="1:3" x14ac:dyDescent="0.25">
      <c r="A52" s="1"/>
      <c r="B52" s="3"/>
      <c r="C52" s="2"/>
    </row>
    <row r="53" spans="1:3" x14ac:dyDescent="0.25">
      <c r="A53" s="1"/>
      <c r="B53" s="3"/>
      <c r="C53" s="2"/>
    </row>
    <row r="54" spans="1:3" x14ac:dyDescent="0.25">
      <c r="A54" s="1"/>
      <c r="B54" s="3"/>
      <c r="C54" s="2"/>
    </row>
    <row r="55" spans="1:3" x14ac:dyDescent="0.25">
      <c r="A55" s="1"/>
      <c r="B55" s="3"/>
      <c r="C55" s="2"/>
    </row>
    <row r="56" spans="1:3" x14ac:dyDescent="0.25">
      <c r="A56" s="1"/>
      <c r="B56" s="3"/>
      <c r="C56" s="2"/>
    </row>
    <row r="57" spans="1:3" x14ac:dyDescent="0.25">
      <c r="A57" s="1"/>
      <c r="B57" s="3"/>
      <c r="C57" s="2"/>
    </row>
    <row r="58" spans="1:3" x14ac:dyDescent="0.25">
      <c r="A58" s="1"/>
      <c r="B58" s="3"/>
      <c r="C58" s="2"/>
    </row>
    <row r="59" spans="1:3" x14ac:dyDescent="0.25">
      <c r="A59" s="1"/>
      <c r="B59" s="3"/>
      <c r="C59" s="2"/>
    </row>
    <row r="60" spans="1:3" x14ac:dyDescent="0.25">
      <c r="A60" s="1"/>
      <c r="B60" s="3"/>
      <c r="C60" s="2"/>
    </row>
    <row r="61" spans="1:3" x14ac:dyDescent="0.25">
      <c r="A61" s="1"/>
      <c r="B61" s="3"/>
      <c r="C61" s="2"/>
    </row>
    <row r="62" spans="1:3" x14ac:dyDescent="0.25">
      <c r="A62" s="1"/>
      <c r="B62" s="3"/>
      <c r="C62" s="2"/>
    </row>
    <row r="63" spans="1:3" x14ac:dyDescent="0.25">
      <c r="A63" s="1"/>
      <c r="B63" s="3"/>
      <c r="C63" s="2"/>
    </row>
    <row r="64" spans="1:3" x14ac:dyDescent="0.25">
      <c r="A64" s="1"/>
      <c r="B64" s="3"/>
      <c r="C64" s="2"/>
    </row>
    <row r="65" spans="1:3" x14ac:dyDescent="0.25">
      <c r="A65" s="1"/>
      <c r="B65" s="3"/>
      <c r="C65" s="2"/>
    </row>
    <row r="66" spans="1:3" x14ac:dyDescent="0.25">
      <c r="A66" s="1"/>
      <c r="B66" s="3"/>
      <c r="C66" s="2"/>
    </row>
    <row r="67" spans="1:3" x14ac:dyDescent="0.25">
      <c r="A67" s="1"/>
      <c r="B67" s="3"/>
      <c r="C67" s="2"/>
    </row>
    <row r="68" spans="1:3" x14ac:dyDescent="0.25">
      <c r="A68" s="1"/>
      <c r="B68" s="3"/>
      <c r="C68" s="2"/>
    </row>
    <row r="69" spans="1:3" x14ac:dyDescent="0.25">
      <c r="A69" s="1"/>
      <c r="B69" s="3"/>
      <c r="C69" s="2"/>
    </row>
    <row r="70" spans="1:3" x14ac:dyDescent="0.25">
      <c r="A70" s="1"/>
      <c r="B70" s="3"/>
      <c r="C70" s="2"/>
    </row>
    <row r="71" spans="1:3" x14ac:dyDescent="0.25">
      <c r="A71" s="1"/>
      <c r="B71" s="3"/>
      <c r="C71" s="2"/>
    </row>
    <row r="72" spans="1:3" x14ac:dyDescent="0.25">
      <c r="A72" s="1"/>
      <c r="B72" s="3"/>
      <c r="C72" s="2"/>
    </row>
    <row r="73" spans="1:3" x14ac:dyDescent="0.25">
      <c r="A73" s="1"/>
      <c r="B73" s="3"/>
      <c r="C73" s="2"/>
    </row>
    <row r="74" spans="1:3" x14ac:dyDescent="0.25">
      <c r="A74" s="1"/>
      <c r="B74" s="3"/>
      <c r="C74" s="2"/>
    </row>
    <row r="75" spans="1:3" x14ac:dyDescent="0.25">
      <c r="A75" s="1"/>
      <c r="B75" s="3"/>
      <c r="C75" s="2"/>
    </row>
    <row r="76" spans="1:3" x14ac:dyDescent="0.25">
      <c r="A76" s="1"/>
      <c r="B76" s="3"/>
      <c r="C76" s="2"/>
    </row>
    <row r="77" spans="1:3" x14ac:dyDescent="0.25">
      <c r="A77" s="1"/>
      <c r="B77" s="3"/>
      <c r="C77" s="2"/>
    </row>
    <row r="78" spans="1:3" x14ac:dyDescent="0.25">
      <c r="A78" s="1"/>
      <c r="B78" s="3"/>
      <c r="C78" s="2"/>
    </row>
    <row r="79" spans="1:3" x14ac:dyDescent="0.25">
      <c r="A79" s="1"/>
      <c r="B79" s="3"/>
      <c r="C79" s="2"/>
    </row>
    <row r="80" spans="1:3" x14ac:dyDescent="0.25">
      <c r="A80" s="1"/>
      <c r="B80" s="3"/>
      <c r="C80" s="2"/>
    </row>
    <row r="81" spans="1:3" x14ac:dyDescent="0.25">
      <c r="A81" s="1"/>
      <c r="B81" s="3"/>
      <c r="C81" s="2"/>
    </row>
    <row r="82" spans="1:3" x14ac:dyDescent="0.25">
      <c r="A82" s="1"/>
      <c r="B82" s="3"/>
      <c r="C82" s="2"/>
    </row>
    <row r="83" spans="1:3" x14ac:dyDescent="0.25">
      <c r="A83" s="1"/>
      <c r="B83" s="3"/>
      <c r="C83" s="2"/>
    </row>
    <row r="84" spans="1:3" x14ac:dyDescent="0.25">
      <c r="A84" s="1"/>
      <c r="B84" s="3"/>
      <c r="C84" s="2"/>
    </row>
    <row r="85" spans="1:3" x14ac:dyDescent="0.25">
      <c r="A85" s="1"/>
      <c r="B85" s="3"/>
      <c r="C85" s="2"/>
    </row>
    <row r="86" spans="1:3" x14ac:dyDescent="0.25">
      <c r="A86" s="1"/>
      <c r="B86" s="3"/>
      <c r="C86" s="2"/>
    </row>
    <row r="87" spans="1:3" x14ac:dyDescent="0.25">
      <c r="A87" s="1"/>
      <c r="B87" s="3"/>
      <c r="C87" s="2"/>
    </row>
    <row r="88" spans="1:3" x14ac:dyDescent="0.25">
      <c r="A88" s="1"/>
      <c r="B88" s="3"/>
      <c r="C88" s="2"/>
    </row>
    <row r="89" spans="1:3" x14ac:dyDescent="0.25">
      <c r="A89" s="1"/>
      <c r="B89" s="3"/>
      <c r="C89" s="2"/>
    </row>
    <row r="90" spans="1:3" x14ac:dyDescent="0.25">
      <c r="A90" s="1"/>
      <c r="B90" s="3"/>
      <c r="C90" s="2"/>
    </row>
    <row r="91" spans="1:3" x14ac:dyDescent="0.25">
      <c r="A91" s="1"/>
      <c r="B91" s="3"/>
      <c r="C91" s="2"/>
    </row>
    <row r="92" spans="1:3" x14ac:dyDescent="0.25">
      <c r="A92" s="1"/>
      <c r="B92" s="3"/>
      <c r="C92" s="2"/>
    </row>
    <row r="93" spans="1:3" x14ac:dyDescent="0.25">
      <c r="A93" s="1"/>
      <c r="B93" s="3"/>
      <c r="C93" s="2"/>
    </row>
    <row r="94" spans="1:3" x14ac:dyDescent="0.25">
      <c r="A94" s="1"/>
      <c r="B94" s="3"/>
      <c r="C94" s="2"/>
    </row>
    <row r="95" spans="1:3" x14ac:dyDescent="0.25">
      <c r="A95" s="1"/>
      <c r="B95" s="3"/>
      <c r="C95" s="2"/>
    </row>
    <row r="96" spans="1:3" x14ac:dyDescent="0.25">
      <c r="A96" s="1"/>
      <c r="B96" s="3"/>
      <c r="C96" s="2"/>
    </row>
    <row r="97" spans="1:3" x14ac:dyDescent="0.25">
      <c r="A97" s="1"/>
      <c r="B97" s="3"/>
      <c r="C97" s="2"/>
    </row>
    <row r="98" spans="1:3" x14ac:dyDescent="0.25">
      <c r="A98" s="1"/>
      <c r="B98" s="3"/>
      <c r="C98" s="2"/>
    </row>
    <row r="99" spans="1:3" x14ac:dyDescent="0.25">
      <c r="A99" s="1"/>
      <c r="B99" s="3"/>
      <c r="C99" s="2"/>
    </row>
    <row r="100" spans="1:3" x14ac:dyDescent="0.25">
      <c r="A100" s="1"/>
      <c r="B100" s="3"/>
      <c r="C100" s="2"/>
    </row>
    <row r="101" spans="1:3" x14ac:dyDescent="0.25">
      <c r="A101" s="1"/>
      <c r="B101" s="3"/>
      <c r="C101" s="2"/>
    </row>
    <row r="102" spans="1:3" x14ac:dyDescent="0.25">
      <c r="A102" s="1"/>
      <c r="B102" s="3"/>
      <c r="C102" s="2"/>
    </row>
    <row r="103" spans="1:3" x14ac:dyDescent="0.25">
      <c r="A103" s="1"/>
      <c r="B103" s="3"/>
      <c r="C103" s="2"/>
    </row>
    <row r="104" spans="1:3" x14ac:dyDescent="0.25">
      <c r="A104" s="1"/>
      <c r="B104" s="3"/>
      <c r="C104" s="2"/>
    </row>
    <row r="105" spans="1:3" x14ac:dyDescent="0.25">
      <c r="A105" s="1"/>
      <c r="B105" s="3"/>
      <c r="C105" s="2"/>
    </row>
    <row r="106" spans="1:3" x14ac:dyDescent="0.25">
      <c r="A106" s="1"/>
      <c r="B106" s="3"/>
      <c r="C106" s="2"/>
    </row>
    <row r="107" spans="1:3" x14ac:dyDescent="0.25">
      <c r="A107" s="1"/>
      <c r="B107" s="3"/>
      <c r="C107" s="2"/>
    </row>
    <row r="108" spans="1:3" x14ac:dyDescent="0.25">
      <c r="A108" s="1"/>
      <c r="B108" s="3"/>
      <c r="C108" s="2"/>
    </row>
    <row r="109" spans="1:3" x14ac:dyDescent="0.25">
      <c r="A109" s="1"/>
      <c r="B109" s="3"/>
      <c r="C109" s="2"/>
    </row>
    <row r="110" spans="1:3" x14ac:dyDescent="0.25">
      <c r="A110" s="1"/>
      <c r="B110" s="3"/>
      <c r="C110" s="2"/>
    </row>
    <row r="111" spans="1:3" x14ac:dyDescent="0.25">
      <c r="A111" s="1"/>
      <c r="B111" s="3"/>
      <c r="C111" s="2"/>
    </row>
    <row r="112" spans="1:3" x14ac:dyDescent="0.25">
      <c r="A112" s="1"/>
      <c r="B112" s="3"/>
      <c r="C112" s="2"/>
    </row>
    <row r="113" spans="1:3" x14ac:dyDescent="0.25">
      <c r="A113" s="1"/>
      <c r="B113" s="3"/>
      <c r="C113" s="2"/>
    </row>
    <row r="114" spans="1:3" x14ac:dyDescent="0.25">
      <c r="A114" s="1"/>
      <c r="B114" s="3"/>
      <c r="C114" s="2"/>
    </row>
    <row r="115" spans="1:3" x14ac:dyDescent="0.25">
      <c r="A115" s="1"/>
      <c r="B115" s="3"/>
      <c r="C115" s="2"/>
    </row>
  </sheetData>
  <sortState ref="A2:E110">
    <sortCondition descending="1" ref="C2:C110"/>
    <sortCondition ref="A2:A110"/>
  </sortState>
  <mergeCells count="4">
    <mergeCell ref="A4:B4"/>
    <mergeCell ref="E1:K1"/>
    <mergeCell ref="E2:K2"/>
    <mergeCell ref="A6:K6"/>
  </mergeCells>
  <printOptions horizontalCentered="1"/>
  <pageMargins left="0.25" right="0.25" top="0.75" bottom="0.75" header="0.5" footer="0.5"/>
  <pageSetup scale="76" fitToHeight="2" orientation="landscape" horizontalDpi="300" verticalDpi="300" r:id="rId1"/>
  <headerFooter alignWithMargins="0">
    <oddHeader>&amp;L&amp;8Appendix C: Inventory Summary - NRC FY 2015</oddHeader>
    <oddFooter>&amp;C&amp;8Page 2 of 2&amp;R&amp;8-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Type, Competition, Time</vt:lpstr>
      <vt:lpstr>Small Business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Gladhill, Vicki</dc:creator>
  <cp:lastModifiedBy>Schmidt, Joseph</cp:lastModifiedBy>
  <cp:lastPrinted>2016-02-04T14:07:00Z</cp:lastPrinted>
  <dcterms:created xsi:type="dcterms:W3CDTF">2010-11-24T14:49:02Z</dcterms:created>
  <dcterms:modified xsi:type="dcterms:W3CDTF">2016-02-16T18:08:30Z</dcterms:modified>
</cp:coreProperties>
</file>