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240" windowHeight="11820" activeTab="0"/>
  </bookViews>
  <sheets>
    <sheet name="Overview" sheetId="1" r:id="rId1"/>
    <sheet name="TransectPlanView" sheetId="2" r:id="rId2"/>
    <sheet name="TransectVertical" sheetId="3" r:id="rId3"/>
    <sheet name="MonitoringData" sheetId="4" r:id="rId4"/>
    <sheet name="TritiumFlux" sheetId="5" r:id="rId5"/>
  </sheets>
  <definedNames/>
  <calcPr fullCalcOnLoad="1"/>
</workbook>
</file>

<file path=xl/sharedStrings.xml><?xml version="1.0" encoding="utf-8"?>
<sst xmlns="http://schemas.openxmlformats.org/spreadsheetml/2006/main" count="338" uniqueCount="70">
  <si>
    <t>Water Table</t>
  </si>
  <si>
    <t>Base of</t>
  </si>
  <si>
    <t>Top</t>
  </si>
  <si>
    <t>Bottom</t>
  </si>
  <si>
    <t>Location</t>
  </si>
  <si>
    <t>K [ft/day]</t>
  </si>
  <si>
    <t>Screened Interval</t>
  </si>
  <si>
    <t>Gradient</t>
  </si>
  <si>
    <t>pCi/day</t>
  </si>
  <si>
    <t>Ci/year</t>
  </si>
  <si>
    <t>Ci/day</t>
  </si>
  <si>
    <t>where:</t>
  </si>
  <si>
    <t>Elevations</t>
  </si>
  <si>
    <t>Well or Boring ID</t>
  </si>
  <si>
    <t>Sand</t>
  </si>
  <si>
    <t>Date</t>
  </si>
  <si>
    <t>days</t>
  </si>
  <si>
    <t>Curies</t>
  </si>
  <si>
    <t>Specific</t>
  </si>
  <si>
    <t xml:space="preserve"> = tritium concentration [pCi/l]</t>
  </si>
  <si>
    <t>C</t>
  </si>
  <si>
    <t xml:space="preserve"> = the number of liters in a cubic foot.</t>
  </si>
  <si>
    <t>Discharge [ft/day]</t>
  </si>
  <si>
    <t>Material Properties:</t>
  </si>
  <si>
    <t>Hydraulic</t>
  </si>
  <si>
    <t>Layer</t>
  </si>
  <si>
    <t>W-1s</t>
  </si>
  <si>
    <t>W-1d</t>
  </si>
  <si>
    <t>W-2</t>
  </si>
  <si>
    <t>W-3</t>
  </si>
  <si>
    <t>W-4</t>
  </si>
  <si>
    <t>W-5</t>
  </si>
  <si>
    <t>W-6</t>
  </si>
  <si>
    <t>W-7</t>
  </si>
  <si>
    <t>W-8d</t>
  </si>
  <si>
    <t>W-8s</t>
  </si>
  <si>
    <t>W-9</t>
  </si>
  <si>
    <t>W-10</t>
  </si>
  <si>
    <t>Seepage</t>
  </si>
  <si>
    <t>Velocity [ft/day]</t>
  </si>
  <si>
    <t>Porosity</t>
  </si>
  <si>
    <t xml:space="preserve">    pCi/day</t>
  </si>
  <si>
    <t>2010 annual activity discharge from each layer:</t>
  </si>
  <si>
    <t>pCi/liter</t>
  </si>
  <si>
    <t>Bulk Water Flux       [cubic ft/day]</t>
  </si>
  <si>
    <t xml:space="preserve">Q </t>
  </si>
  <si>
    <t xml:space="preserve"> = bulk water flux [cubic ft/day]</t>
  </si>
  <si>
    <t>Distance along Transect [ft]</t>
  </si>
  <si>
    <t>Total Water Flux:</t>
  </si>
  <si>
    <t>2010 Transect Average Tritium Concentration discharged to water body:</t>
  </si>
  <si>
    <t>pCi/l</t>
  </si>
  <si>
    <t>2010 Annual Total Tritium Activity discharged via ground-water to water body:</t>
  </si>
  <si>
    <t>Width [feet]</t>
  </si>
  <si>
    <t>Thickness [feet]</t>
  </si>
  <si>
    <t>Time of Travel to Large Body of Water (~175 feet away from the Transect):</t>
  </si>
  <si>
    <t>Since Tritium has a 4500 day halflife, there will be minimal decay from the time that it passes through the transect to the time that it enters the body of water; i.e., we wouldn't expect the concentrations to decrease much simply due to radioactive decay, but we'll calculate it on the "ActivityFlux" worksheet.</t>
  </si>
  <si>
    <t>Silty Sand</t>
  </si>
  <si>
    <t>cubic ft/day</t>
  </si>
  <si>
    <t>ND</t>
  </si>
  <si>
    <t>Tritium flux = Q*C*28.3168</t>
  </si>
  <si>
    <t>Tritium Flux through each Modeling Block [pCi/day]</t>
  </si>
  <si>
    <t>Representative Tritium Concentrations for each Modeling Block [pCi/l]</t>
  </si>
  <si>
    <t xml:space="preserve">Modeling Blocks </t>
  </si>
  <si>
    <t>The seepage velocity is the specific discharge, q divided by the porosity.  The bulk water flux through a "modeling block" is the specific discharge times the modeling block area which is the width of the block times the saturated thickness of the block.</t>
  </si>
  <si>
    <t>The tritium flux equation:</t>
  </si>
  <si>
    <t>12-Month Tritium activity discharge (at transect):</t>
  </si>
  <si>
    <t>Total Transect Tritium Flux</t>
  </si>
  <si>
    <t xml:space="preserve">     This example is for a transect that is about 175 feet away from a large body of water. This worksheet is for general hydrologic data entry. The worksheet titled "TransectPlanView" is found as Table 1 in the Appendix of RG 4.25. It shows the general layout of the problem with the large body of water and monitoring wells plotted relative to the transect.  Nearby monitoring wells which are off the transect are projected onto the transect. For a vertical conceptualization of the problem and hydrostratigraphy, see the worksheet titled "TransectVertical" which is found as Table 2 in the Appendix of RG 4.25.</t>
  </si>
  <si>
    <r>
      <t xml:space="preserve">     Calculated (or derived) quantities are displayed using an </t>
    </r>
    <r>
      <rPr>
        <i/>
        <sz val="11"/>
        <color indexed="8"/>
        <rFont val="Arial"/>
        <family val="2"/>
      </rPr>
      <t>italic</t>
    </r>
    <r>
      <rPr>
        <sz val="11"/>
        <color theme="1"/>
        <rFont val="Arial"/>
        <family val="2"/>
      </rPr>
      <t xml:space="preserve"> font. The following worksheets have the monitoring data and tritium flux calculations (see "MonitoringData" and "TritiumFlux" worksheets, RG 4.25 Appendix Tables 4, 5, &amp; 6).  This spreadsheet is for the case that assumes uniform hydraulic properties within each saturated unit (called "modeling block") and, within the rectangular portion of the transect represented by the monitoring well, a uniform concentration within each saturated unit.  The tritium flux rate (at an instant in time) is the simple product of the specific discharge, the concentration, the modeling block area (A), and constants for unit conversions; in this case, we need the conversion from liters to cubic feet.  Specific discharge is estimated by Darcy's Law q = - KI with the Hydraulic Gradient (I) approximated perpendicular to the transect.</t>
    </r>
  </si>
  <si>
    <t>“ND” (Not Detected) – For calculational purposes, when tritium in ground water is not detected, the model assumes a zero concentration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</si>
</sst>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0.0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39">
    <font>
      <sz val="11"/>
      <color theme="1"/>
      <name val="Arial"/>
      <family val="2"/>
    </font>
    <font>
      <sz val="11"/>
      <color indexed="8"/>
      <name val="Arial"/>
      <family val="2"/>
    </font>
    <font>
      <b/>
      <sz val="11"/>
      <color indexed="8"/>
      <name val="Arial"/>
      <family val="2"/>
    </font>
    <font>
      <i/>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b/>
      <i/>
      <sz val="11"/>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i/>
      <sz val="11"/>
      <color theme="1"/>
      <name val="Arial"/>
      <family val="2"/>
    </font>
    <font>
      <i/>
      <sz val="11"/>
      <color theme="1"/>
      <name val="Arial"/>
      <family val="2"/>
    </font>
    <font>
      <sz val="11"/>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2" tint="-0.24993999302387238"/>
        <bgColor indexed="64"/>
      </patternFill>
    </fill>
    <fill>
      <patternFill patternType="solid">
        <fgColor theme="5"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0" fillId="22" borderId="0" applyProtection="0">
      <alignment/>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18">
    <xf numFmtId="0" fontId="0" fillId="0" borderId="0" xfId="0"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vertical="top" wrapText="1"/>
    </xf>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Alignment="1">
      <alignment vertical="top" wrapText="1"/>
    </xf>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horizontal="left" vertical="top" wrapText="1"/>
    </xf>
    <xf numFmtId="0" fontId="36" fillId="0" borderId="0" xfId="0" applyFont="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ill="1" applyAlignment="1">
      <alignment/>
    </xf>
    <xf numFmtId="0" fontId="0" fillId="0" borderId="10" xfId="0" applyBorder="1" applyAlignment="1">
      <alignment horizontal="right" vertical="top" wrapText="1"/>
    </xf>
    <xf numFmtId="0" fontId="0" fillId="0" borderId="11" xfId="0" applyBorder="1" applyAlignment="1">
      <alignment vertical="top" wrapText="1"/>
    </xf>
    <xf numFmtId="11" fontId="0" fillId="0" borderId="0" xfId="0" applyNumberFormat="1" applyFill="1" applyBorder="1" applyAlignment="1">
      <alignment/>
    </xf>
    <xf numFmtId="0" fontId="37" fillId="0" borderId="0" xfId="0" applyFont="1" applyFill="1" applyBorder="1" applyAlignment="1">
      <alignment horizontal="center" vertical="center"/>
    </xf>
    <xf numFmtId="0" fontId="0" fillId="0" borderId="0" xfId="0" applyFill="1" applyBorder="1" applyAlignment="1">
      <alignment/>
    </xf>
    <xf numFmtId="1" fontId="0" fillId="0" borderId="0" xfId="0" applyNumberFormat="1" applyBorder="1" applyAlignment="1">
      <alignment/>
    </xf>
    <xf numFmtId="0" fontId="0" fillId="0" borderId="12" xfId="0" applyBorder="1" applyAlignment="1">
      <alignment horizontal="center"/>
    </xf>
    <xf numFmtId="0" fontId="37" fillId="0" borderId="0" xfId="0" applyFont="1" applyFill="1" applyBorder="1" applyAlignment="1">
      <alignment horizontal="center"/>
    </xf>
    <xf numFmtId="0" fontId="37" fillId="0" borderId="0" xfId="0" applyFont="1" applyFill="1" applyBorder="1" applyAlignment="1">
      <alignment/>
    </xf>
    <xf numFmtId="0" fontId="0" fillId="0" borderId="0" xfId="0" applyFill="1" applyBorder="1" applyAlignment="1">
      <alignment horizontal="center"/>
    </xf>
    <xf numFmtId="0" fontId="0" fillId="0" borderId="0" xfId="0" applyBorder="1" applyAlignment="1">
      <alignment horizontal="lef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xf>
    <xf numFmtId="0" fontId="0" fillId="0" borderId="0" xfId="0" applyBorder="1" applyAlignment="1">
      <alignment horizontal="center"/>
    </xf>
    <xf numFmtId="0" fontId="0" fillId="0" borderId="0" xfId="0" applyFill="1" applyAlignment="1">
      <alignment/>
    </xf>
    <xf numFmtId="0" fontId="0" fillId="0" borderId="0" xfId="0" applyFont="1" applyFill="1" applyBorder="1" applyAlignment="1">
      <alignment horizontal="left"/>
    </xf>
    <xf numFmtId="0" fontId="0" fillId="0" borderId="0" xfId="0" applyFill="1" applyBorder="1" applyAlignment="1">
      <alignment horizontal="left"/>
    </xf>
    <xf numFmtId="11" fontId="0" fillId="0" borderId="0" xfId="0" applyNumberFormat="1" applyBorder="1" applyAlignment="1">
      <alignment/>
    </xf>
    <xf numFmtId="0" fontId="0" fillId="0" borderId="14" xfId="0" applyFill="1" applyBorder="1" applyAlignment="1">
      <alignment/>
    </xf>
    <xf numFmtId="0" fontId="36" fillId="0" borderId="0" xfId="0" applyFont="1" applyFill="1" applyBorder="1" applyAlignment="1">
      <alignment/>
    </xf>
    <xf numFmtId="0" fontId="0" fillId="0" borderId="0" xfId="0" applyAlignment="1">
      <alignment horizontal="left"/>
    </xf>
    <xf numFmtId="0" fontId="0" fillId="0" borderId="0" xfId="0" applyBorder="1" applyAlignment="1">
      <alignment horizontal="left" vertical="top" wrapText="1"/>
    </xf>
    <xf numFmtId="0" fontId="0" fillId="0" borderId="0" xfId="0" applyBorder="1" applyAlignment="1">
      <alignment vertical="top" wrapText="1"/>
    </xf>
    <xf numFmtId="0" fontId="0" fillId="0" borderId="10"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2" xfId="0" applyBorder="1" applyAlignment="1">
      <alignment vertical="top" wrapText="1"/>
    </xf>
    <xf numFmtId="0" fontId="0" fillId="0" borderId="13" xfId="0" applyBorder="1" applyAlignment="1">
      <alignment vertical="top" wrapText="1"/>
    </xf>
    <xf numFmtId="0" fontId="0" fillId="0" borderId="0" xfId="0" applyFill="1" applyBorder="1" applyAlignment="1">
      <alignment horizontal="center" vertical="center"/>
    </xf>
    <xf numFmtId="0" fontId="0" fillId="0" borderId="0" xfId="0" applyFill="1" applyAlignment="1">
      <alignment/>
    </xf>
    <xf numFmtId="11" fontId="0" fillId="0" borderId="0" xfId="0" applyNumberFormat="1" applyFill="1" applyAlignment="1">
      <alignment/>
    </xf>
    <xf numFmtId="0" fontId="0" fillId="0" borderId="0" xfId="0" applyFill="1" applyBorder="1" applyAlignment="1">
      <alignment horizontal="center"/>
    </xf>
    <xf numFmtId="0" fontId="37" fillId="0" borderId="0" xfId="0" applyFont="1" applyFill="1"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16" xfId="0" applyBorder="1" applyAlignment="1">
      <alignment/>
    </xf>
    <xf numFmtId="0" fontId="0" fillId="0" borderId="17" xfId="0" applyBorder="1" applyAlignment="1">
      <alignment vertical="top" wrapText="1"/>
    </xf>
    <xf numFmtId="1" fontId="0" fillId="0" borderId="0" xfId="0" applyNumberFormat="1" applyFill="1" applyBorder="1" applyAlignment="1">
      <alignment horizontal="center"/>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Fill="1" applyBorder="1" applyAlignment="1">
      <alignment horizontal="center"/>
    </xf>
    <xf numFmtId="11" fontId="36" fillId="0" borderId="0" xfId="0" applyNumberFormat="1" applyFont="1" applyAlignment="1">
      <alignment/>
    </xf>
    <xf numFmtId="11" fontId="0" fillId="0" borderId="0" xfId="0" applyNumberFormat="1" applyAlignment="1">
      <alignment/>
    </xf>
    <xf numFmtId="0" fontId="34" fillId="33" borderId="0" xfId="0" applyFont="1" applyFill="1" applyBorder="1" applyAlignment="1">
      <alignment horizontal="center"/>
    </xf>
    <xf numFmtId="0" fontId="34" fillId="33" borderId="0" xfId="0" applyFont="1" applyFill="1" applyBorder="1" applyAlignment="1">
      <alignment horizontal="center" vertical="center"/>
    </xf>
    <xf numFmtId="0" fontId="34" fillId="33" borderId="0" xfId="0" applyFont="1" applyFill="1" applyBorder="1" applyAlignment="1">
      <alignment/>
    </xf>
    <xf numFmtId="166" fontId="37" fillId="0" borderId="18" xfId="0" applyNumberFormat="1" applyFont="1" applyBorder="1" applyAlignment="1">
      <alignment horizontal="center"/>
    </xf>
    <xf numFmtId="166" fontId="37" fillId="34" borderId="14" xfId="0" applyNumberFormat="1" applyFont="1" applyFill="1" applyBorder="1" applyAlignment="1">
      <alignment horizontal="center" vertical="top" wrapText="1"/>
    </xf>
    <xf numFmtId="166" fontId="37" fillId="35" borderId="14" xfId="0" applyNumberFormat="1" applyFont="1" applyFill="1" applyBorder="1" applyAlignment="1">
      <alignment horizontal="center" vertical="top" wrapText="1"/>
    </xf>
    <xf numFmtId="166" fontId="37" fillId="35" borderId="18" xfId="0" applyNumberFormat="1" applyFont="1" applyFill="1" applyBorder="1" applyAlignment="1">
      <alignment horizontal="center" vertical="top" wrapText="1"/>
    </xf>
    <xf numFmtId="166" fontId="37" fillId="0" borderId="12" xfId="0" applyNumberFormat="1" applyFont="1" applyBorder="1" applyAlignment="1">
      <alignment vertical="top" wrapText="1"/>
    </xf>
    <xf numFmtId="1" fontId="37" fillId="0" borderId="0" xfId="0" applyNumberFormat="1" applyFont="1" applyBorder="1" applyAlignment="1">
      <alignment/>
    </xf>
    <xf numFmtId="11" fontId="37" fillId="34" borderId="14" xfId="0" applyNumberFormat="1" applyFont="1" applyFill="1" applyBorder="1" applyAlignment="1">
      <alignment/>
    </xf>
    <xf numFmtId="11" fontId="37" fillId="34" borderId="19" xfId="0" applyNumberFormat="1" applyFont="1" applyFill="1" applyBorder="1" applyAlignment="1">
      <alignment/>
    </xf>
    <xf numFmtId="11" fontId="37" fillId="35" borderId="14" xfId="0" applyNumberFormat="1" applyFont="1" applyFill="1" applyBorder="1" applyAlignment="1">
      <alignment/>
    </xf>
    <xf numFmtId="11" fontId="37" fillId="35" borderId="19" xfId="0" applyNumberFormat="1" applyFont="1" applyFill="1" applyBorder="1" applyAlignment="1">
      <alignment/>
    </xf>
    <xf numFmtId="11" fontId="37" fillId="35" borderId="18" xfId="0" applyNumberFormat="1" applyFont="1" applyFill="1" applyBorder="1" applyAlignment="1">
      <alignment/>
    </xf>
    <xf numFmtId="11" fontId="37" fillId="35" borderId="20" xfId="0" applyNumberFormat="1" applyFont="1" applyFill="1" applyBorder="1" applyAlignment="1">
      <alignment/>
    </xf>
    <xf numFmtId="11" fontId="37" fillId="34" borderId="0" xfId="0" applyNumberFormat="1" applyFont="1" applyFill="1" applyBorder="1" applyAlignment="1">
      <alignment horizontal="center"/>
    </xf>
    <xf numFmtId="11" fontId="37" fillId="34" borderId="0" xfId="0" applyNumberFormat="1" applyFont="1" applyFill="1" applyBorder="1" applyAlignment="1">
      <alignment/>
    </xf>
    <xf numFmtId="11" fontId="37" fillId="36" borderId="0" xfId="0" applyNumberFormat="1" applyFont="1" applyFill="1" applyBorder="1" applyAlignment="1">
      <alignment/>
    </xf>
    <xf numFmtId="11" fontId="37" fillId="36" borderId="0" xfId="0" applyNumberFormat="1" applyFont="1" applyFill="1" applyAlignment="1">
      <alignment/>
    </xf>
    <xf numFmtId="11" fontId="37" fillId="0" borderId="0" xfId="0" applyNumberFormat="1" applyFont="1" applyAlignment="1">
      <alignment vertical="top" wrapText="1"/>
    </xf>
    <xf numFmtId="14" fontId="37" fillId="0" borderId="0" xfId="0" applyNumberFormat="1" applyFont="1" applyFill="1" applyBorder="1" applyAlignment="1">
      <alignment horizontal="center"/>
    </xf>
    <xf numFmtId="0" fontId="37" fillId="34" borderId="21" xfId="0" applyFont="1" applyFill="1" applyBorder="1" applyAlignment="1">
      <alignment horizontal="center"/>
    </xf>
    <xf numFmtId="0" fontId="37" fillId="36" borderId="11" xfId="0" applyFont="1" applyFill="1" applyBorder="1" applyAlignment="1">
      <alignment horizontal="center"/>
    </xf>
    <xf numFmtId="0" fontId="37" fillId="34" borderId="22" xfId="0" applyFont="1" applyFill="1" applyBorder="1" applyAlignment="1">
      <alignment horizontal="center"/>
    </xf>
    <xf numFmtId="0" fontId="0" fillId="0" borderId="0" xfId="0" applyFont="1" applyAlignment="1">
      <alignment/>
    </xf>
    <xf numFmtId="0" fontId="34" fillId="0" borderId="0" xfId="0" applyFont="1" applyFill="1" applyAlignment="1">
      <alignment horizontal="center" vertical="center" wrapText="1"/>
    </xf>
    <xf numFmtId="0" fontId="34" fillId="0" borderId="14" xfId="0" applyFont="1" applyFill="1" applyBorder="1" applyAlignment="1">
      <alignment horizontal="center" vertical="center" wrapText="1"/>
    </xf>
    <xf numFmtId="0" fontId="0" fillId="0" borderId="14" xfId="0" applyBorder="1" applyAlignment="1" applyProtection="1">
      <alignment horizontal="center"/>
      <protection locked="0"/>
    </xf>
    <xf numFmtId="0" fontId="0" fillId="0" borderId="19" xfId="0"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0" borderId="23"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23" xfId="0" applyNumberFormat="1" applyBorder="1" applyAlignment="1" applyProtection="1">
      <alignment horizontal="center"/>
      <protection locked="0"/>
    </xf>
    <xf numFmtId="1" fontId="0" fillId="34" borderId="18" xfId="0" applyNumberFormat="1" applyFill="1" applyBorder="1" applyAlignment="1" applyProtection="1">
      <alignment horizontal="center"/>
      <protection locked="0"/>
    </xf>
    <xf numFmtId="1" fontId="0" fillId="34" borderId="20" xfId="0" applyNumberFormat="1" applyFill="1" applyBorder="1" applyAlignment="1" applyProtection="1">
      <alignment horizontal="center"/>
      <protection locked="0"/>
    </xf>
    <xf numFmtId="1" fontId="0" fillId="34" borderId="14" xfId="0" applyNumberFormat="1" applyFill="1" applyBorder="1" applyAlignment="1" applyProtection="1">
      <alignment horizontal="center"/>
      <protection locked="0"/>
    </xf>
    <xf numFmtId="1" fontId="0" fillId="34" borderId="19" xfId="0" applyNumberFormat="1" applyFill="1" applyBorder="1" applyAlignment="1" applyProtection="1">
      <alignment horizontal="center"/>
      <protection locked="0"/>
    </xf>
    <xf numFmtId="1" fontId="0" fillId="36" borderId="12" xfId="0" applyNumberFormat="1" applyFill="1" applyBorder="1" applyAlignment="1" applyProtection="1">
      <alignment horizontal="center"/>
      <protection locked="0"/>
    </xf>
    <xf numFmtId="1" fontId="0" fillId="36" borderId="13" xfId="0" applyNumberFormat="1" applyFill="1" applyBorder="1" applyAlignment="1" applyProtection="1">
      <alignment horizontal="center"/>
      <protection locked="0"/>
    </xf>
    <xf numFmtId="1" fontId="0" fillId="36" borderId="14" xfId="0" applyNumberFormat="1" applyFill="1" applyBorder="1" applyAlignment="1" applyProtection="1">
      <alignment horizontal="center"/>
      <protection locked="0"/>
    </xf>
    <xf numFmtId="1" fontId="0" fillId="34" borderId="12" xfId="0" applyNumberFormat="1" applyFill="1" applyBorder="1" applyAlignment="1" applyProtection="1">
      <alignment horizontal="center"/>
      <protection locked="0"/>
    </xf>
    <xf numFmtId="1" fontId="0" fillId="34" borderId="13" xfId="0" applyNumberFormat="1" applyFill="1" applyBorder="1" applyAlignment="1" applyProtection="1">
      <alignment horizontal="center"/>
      <protection locked="0"/>
    </xf>
    <xf numFmtId="0" fontId="34" fillId="0" borderId="14" xfId="0" applyFont="1" applyBorder="1" applyAlignment="1">
      <alignment horizontal="center"/>
    </xf>
    <xf numFmtId="0" fontId="36" fillId="0" borderId="14" xfId="0" applyFont="1" applyBorder="1" applyAlignment="1">
      <alignment horizontal="center"/>
    </xf>
    <xf numFmtId="0" fontId="36" fillId="0" borderId="19" xfId="0" applyFont="1" applyBorder="1" applyAlignment="1">
      <alignment horizontal="center"/>
    </xf>
    <xf numFmtId="0" fontId="37" fillId="34" borderId="14" xfId="0" applyFont="1" applyFill="1" applyBorder="1" applyAlignment="1">
      <alignment horizontal="center"/>
    </xf>
    <xf numFmtId="0" fontId="37" fillId="35" borderId="14" xfId="0" applyFont="1" applyFill="1" applyBorder="1" applyAlignment="1">
      <alignment horizontal="center"/>
    </xf>
    <xf numFmtId="0" fontId="37" fillId="35" borderId="22" xfId="0" applyFont="1" applyFill="1" applyBorder="1" applyAlignment="1">
      <alignment horizontal="center"/>
    </xf>
    <xf numFmtId="0" fontId="38" fillId="34" borderId="14" xfId="0" applyFont="1" applyFill="1" applyBorder="1" applyAlignment="1" applyProtection="1">
      <alignment horizontal="center"/>
      <protection locked="0"/>
    </xf>
    <xf numFmtId="0" fontId="38" fillId="34" borderId="19" xfId="0" applyFont="1" applyFill="1" applyBorder="1" applyAlignment="1" applyProtection="1">
      <alignment horizontal="center"/>
      <protection locked="0"/>
    </xf>
    <xf numFmtId="0" fontId="38" fillId="36" borderId="12" xfId="0" applyFont="1" applyFill="1" applyBorder="1" applyAlignment="1" applyProtection="1">
      <alignment horizontal="center"/>
      <protection locked="0"/>
    </xf>
    <xf numFmtId="0" fontId="38" fillId="36" borderId="13" xfId="0" applyFont="1"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0" borderId="0" xfId="0" applyAlignment="1" applyProtection="1">
      <alignment horizontal="right"/>
      <protection locked="0"/>
    </xf>
    <xf numFmtId="0" fontId="0" fillId="34" borderId="0" xfId="0" applyFill="1" applyBorder="1" applyAlignment="1" applyProtection="1">
      <alignment horizontal="center"/>
      <protection locked="0"/>
    </xf>
    <xf numFmtId="0" fontId="0" fillId="34" borderId="0" xfId="0" applyFill="1" applyBorder="1" applyAlignment="1" applyProtection="1">
      <alignment horizontal="center" vertical="center"/>
      <protection locked="0"/>
    </xf>
    <xf numFmtId="0" fontId="0" fillId="36" borderId="12" xfId="0" applyFill="1" applyBorder="1" applyAlignment="1" applyProtection="1">
      <alignment horizontal="center"/>
      <protection locked="0"/>
    </xf>
    <xf numFmtId="0" fontId="0" fillId="36" borderId="12" xfId="0" applyFill="1" applyBorder="1" applyAlignment="1" applyProtection="1">
      <alignment horizontal="center" vertical="center"/>
      <protection locked="0"/>
    </xf>
    <xf numFmtId="0" fontId="34" fillId="0" borderId="0" xfId="0" applyFont="1" applyFill="1" applyBorder="1" applyAlignment="1">
      <alignment horizontal="center"/>
    </xf>
    <xf numFmtId="0" fontId="34" fillId="34" borderId="0" xfId="0" applyFont="1" applyFill="1" applyBorder="1" applyAlignment="1">
      <alignment horizontal="center"/>
    </xf>
    <xf numFmtId="0" fontId="34" fillId="36" borderId="0" xfId="0" applyFont="1" applyFill="1" applyAlignment="1">
      <alignment/>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4" fillId="0" borderId="21" xfId="0" applyFont="1"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34" fillId="33" borderId="10" xfId="0" applyFont="1" applyFill="1" applyBorder="1" applyAlignment="1">
      <alignment horizontal="center" vertical="top" wrapText="1"/>
    </xf>
    <xf numFmtId="0" fontId="34" fillId="33" borderId="0" xfId="0" applyFont="1" applyFill="1" applyBorder="1" applyAlignment="1">
      <alignment horizontal="center" vertical="top" wrapText="1"/>
    </xf>
    <xf numFmtId="0" fontId="37" fillId="36" borderId="12" xfId="0" applyFont="1" applyFill="1" applyBorder="1" applyAlignment="1">
      <alignment horizontal="center"/>
    </xf>
    <xf numFmtId="0" fontId="37" fillId="36" borderId="13" xfId="0" applyFont="1" applyFill="1" applyBorder="1" applyAlignment="1">
      <alignment horizontal="center"/>
    </xf>
    <xf numFmtId="0" fontId="0" fillId="0" borderId="10" xfId="0"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10" xfId="0" applyFill="1" applyBorder="1" applyAlignment="1">
      <alignment horizontal="center"/>
    </xf>
    <xf numFmtId="0" fontId="0" fillId="0" borderId="0" xfId="0" applyFill="1" applyBorder="1" applyAlignment="1">
      <alignment horizontal="center"/>
    </xf>
    <xf numFmtId="0" fontId="34" fillId="33" borderId="0" xfId="0" applyFont="1" applyFill="1" applyBorder="1" applyAlignment="1">
      <alignment horizontal="center"/>
    </xf>
    <xf numFmtId="0" fontId="34" fillId="33" borderId="23" xfId="0" applyFont="1" applyFill="1" applyBorder="1" applyAlignment="1">
      <alignment horizontal="center"/>
    </xf>
    <xf numFmtId="0" fontId="0" fillId="0" borderId="10" xfId="0" applyBorder="1" applyAlignment="1">
      <alignment/>
    </xf>
    <xf numFmtId="0" fontId="0" fillId="0" borderId="0" xfId="0" applyBorder="1" applyAlignment="1">
      <alignment/>
    </xf>
    <xf numFmtId="0" fontId="0" fillId="0" borderId="23" xfId="0" applyBorder="1" applyAlignment="1">
      <alignment/>
    </xf>
    <xf numFmtId="0" fontId="0" fillId="0" borderId="15" xfId="0" applyBorder="1" applyAlignment="1">
      <alignment horizontal="center" vertical="center" textRotation="45" wrapText="1"/>
    </xf>
    <xf numFmtId="0" fontId="0" fillId="0" borderId="16" xfId="0" applyBorder="1" applyAlignment="1">
      <alignment horizontal="center" vertical="center" textRotation="45" wrapText="1"/>
    </xf>
    <xf numFmtId="0" fontId="0" fillId="0" borderId="17" xfId="0" applyBorder="1" applyAlignment="1">
      <alignment horizontal="center" vertical="center" textRotation="45"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34" fillId="33" borderId="10" xfId="0" applyFont="1" applyFill="1" applyBorder="1" applyAlignment="1">
      <alignment horizont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top" wrapText="1"/>
    </xf>
    <xf numFmtId="0" fontId="0" fillId="0" borderId="19"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22"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1" xfId="0" applyFill="1" applyBorder="1" applyAlignment="1">
      <alignment horizontal="left" vertical="top" wrapText="1"/>
    </xf>
    <xf numFmtId="0" fontId="0" fillId="0" borderId="14" xfId="0" applyFill="1" applyBorder="1" applyAlignment="1">
      <alignment horizontal="left" vertical="top" wrapText="1"/>
    </xf>
    <xf numFmtId="0" fontId="37" fillId="0" borderId="0" xfId="0" applyFont="1" applyFill="1" applyBorder="1" applyAlignment="1">
      <alignment horizontal="left" vertical="top" wrapText="1"/>
    </xf>
    <xf numFmtId="0" fontId="37" fillId="0" borderId="23" xfId="0" applyFont="1" applyFill="1" applyBorder="1" applyAlignment="1">
      <alignment horizontal="left" vertical="top" wrapText="1"/>
    </xf>
    <xf numFmtId="0" fontId="37" fillId="0" borderId="10" xfId="0" applyFont="1" applyFill="1" applyBorder="1" applyAlignment="1">
      <alignment horizontal="right"/>
    </xf>
    <xf numFmtId="0" fontId="37" fillId="0" borderId="0" xfId="0" applyFont="1" applyFill="1" applyBorder="1" applyAlignment="1">
      <alignment horizontal="right"/>
    </xf>
    <xf numFmtId="0" fontId="37" fillId="34" borderId="0" xfId="0" applyFont="1" applyFill="1" applyBorder="1" applyAlignment="1">
      <alignment horizontal="center"/>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14" xfId="0" applyFill="1" applyBorder="1" applyAlignment="1">
      <alignment horizontal="center"/>
    </xf>
    <xf numFmtId="0" fontId="0" fillId="0" borderId="19" xfId="0" applyFill="1" applyBorder="1" applyAlignment="1">
      <alignment horizontal="center"/>
    </xf>
    <xf numFmtId="0" fontId="0" fillId="0" borderId="22" xfId="0" applyBorder="1" applyAlignment="1">
      <alignment horizontal="center" vertical="top" wrapText="1"/>
    </xf>
    <xf numFmtId="0" fontId="0" fillId="0" borderId="18" xfId="0" applyBorder="1" applyAlignment="1">
      <alignment horizontal="center" vertical="top" wrapText="1"/>
    </xf>
    <xf numFmtId="0" fontId="0" fillId="0" borderId="15" xfId="0" applyBorder="1" applyAlignment="1">
      <alignment horizontal="left" vertical="center" textRotation="45" wrapText="1"/>
    </xf>
    <xf numFmtId="0" fontId="0" fillId="0" borderId="16" xfId="0" applyBorder="1" applyAlignment="1">
      <alignment horizontal="left" vertical="center" textRotation="45" wrapText="1"/>
    </xf>
    <xf numFmtId="0" fontId="0" fillId="0" borderId="17" xfId="0" applyBorder="1" applyAlignment="1">
      <alignment horizontal="left" vertical="center" textRotation="45" wrapText="1"/>
    </xf>
    <xf numFmtId="0" fontId="0" fillId="0" borderId="20" xfId="0" applyBorder="1" applyAlignment="1">
      <alignment horizontal="center"/>
    </xf>
    <xf numFmtId="0" fontId="0" fillId="34" borderId="10" xfId="0" applyFill="1" applyBorder="1" applyAlignment="1" applyProtection="1">
      <alignment horizontal="center"/>
      <protection locked="0"/>
    </xf>
    <xf numFmtId="0" fontId="0" fillId="34" borderId="0" xfId="0" applyFill="1" applyBorder="1" applyAlignment="1" applyProtection="1">
      <alignment horizontal="center"/>
      <protection locked="0"/>
    </xf>
    <xf numFmtId="0" fontId="37" fillId="34" borderId="23" xfId="0" applyFont="1" applyFill="1" applyBorder="1" applyAlignment="1">
      <alignment horizontal="center"/>
    </xf>
    <xf numFmtId="0" fontId="0" fillId="36" borderId="11" xfId="0" applyFill="1" applyBorder="1" applyAlignment="1" applyProtection="1">
      <alignment horizontal="center"/>
      <protection locked="0"/>
    </xf>
    <xf numFmtId="0" fontId="0" fillId="36" borderId="12" xfId="0" applyFill="1" applyBorder="1" applyAlignment="1" applyProtection="1">
      <alignment horizontal="center"/>
      <protection locked="0"/>
    </xf>
    <xf numFmtId="0" fontId="0" fillId="0" borderId="21"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14" fontId="0" fillId="0" borderId="21" xfId="0" applyNumberFormat="1" applyBorder="1" applyAlignment="1">
      <alignment horizontal="center" vertical="center"/>
    </xf>
    <xf numFmtId="14" fontId="0" fillId="0" borderId="11" xfId="0" applyNumberForma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14" fontId="0" fillId="0" borderId="21" xfId="0" applyNumberFormat="1" applyBorder="1" applyAlignment="1">
      <alignment horizontal="center" vertical="center" wrapText="1"/>
    </xf>
    <xf numFmtId="14" fontId="0" fillId="0" borderId="14"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0" xfId="0" applyNumberFormat="1" applyBorder="1" applyAlignment="1">
      <alignment horizontal="center" vertical="center" wrapText="1"/>
    </xf>
    <xf numFmtId="14" fontId="0" fillId="0" borderId="11" xfId="0" applyNumberFormat="1" applyBorder="1" applyAlignment="1">
      <alignment horizontal="center" vertical="center" wrapText="1"/>
    </xf>
    <xf numFmtId="14" fontId="0" fillId="0" borderId="12" xfId="0" applyNumberFormat="1" applyBorder="1" applyAlignment="1">
      <alignment horizontal="center" vertical="center" wrapText="1"/>
    </xf>
    <xf numFmtId="0" fontId="36" fillId="0" borderId="0" xfId="0" applyFont="1" applyAlignment="1">
      <alignment horizontal="left"/>
    </xf>
    <xf numFmtId="0" fontId="34" fillId="0" borderId="0" xfId="0" applyFont="1" applyFill="1" applyAlignment="1">
      <alignment horizontal="center" vertical="center" wrapText="1"/>
    </xf>
    <xf numFmtId="0" fontId="0" fillId="0" borderId="0" xfId="0" applyFont="1" applyFill="1" applyAlignment="1">
      <alignment horizontal="center" vertical="center" wrapText="1"/>
    </xf>
    <xf numFmtId="14" fontId="37" fillId="0" borderId="21" xfId="0" applyNumberFormat="1" applyFont="1" applyFill="1" applyBorder="1" applyAlignment="1">
      <alignment horizontal="center" vertical="center"/>
    </xf>
    <xf numFmtId="14" fontId="37" fillId="0" borderId="11" xfId="0" applyNumberFormat="1" applyFont="1" applyFill="1" applyBorder="1" applyAlignment="1">
      <alignment horizontal="center" vertical="center"/>
    </xf>
    <xf numFmtId="11" fontId="37" fillId="36" borderId="0" xfId="0" applyNumberFormat="1" applyFont="1" applyFill="1" applyBorder="1" applyAlignment="1">
      <alignment horizontal="center"/>
    </xf>
    <xf numFmtId="14" fontId="37" fillId="0" borderId="15" xfId="0" applyNumberFormat="1" applyFont="1" applyFill="1" applyBorder="1" applyAlignment="1">
      <alignment horizontal="center" vertical="center"/>
    </xf>
    <xf numFmtId="14" fontId="37" fillId="0" borderId="17" xfId="0" applyNumberFormat="1" applyFont="1" applyFill="1" applyBorder="1" applyAlignment="1">
      <alignment horizontal="center" vertical="center"/>
    </xf>
    <xf numFmtId="0" fontId="34" fillId="37" borderId="0" xfId="0" applyFont="1" applyFill="1" applyBorder="1" applyAlignment="1">
      <alignment horizontal="center"/>
    </xf>
    <xf numFmtId="0" fontId="36" fillId="34" borderId="0" xfId="0" applyFont="1" applyFill="1" applyBorder="1" applyAlignment="1">
      <alignment horizontal="center"/>
    </xf>
    <xf numFmtId="0" fontId="36" fillId="36" borderId="0" xfId="0" applyFont="1" applyFill="1" applyBorder="1" applyAlignment="1">
      <alignment horizontal="center"/>
    </xf>
    <xf numFmtId="0" fontId="34" fillId="36" borderId="0" xfId="0" applyFont="1" applyFill="1" applyBorder="1" applyAlignment="1">
      <alignment horizontal="center"/>
    </xf>
    <xf numFmtId="14" fontId="36" fillId="0" borderId="0" xfId="0" applyNumberFormat="1" applyFont="1" applyFill="1" applyBorder="1" applyAlignment="1">
      <alignment horizontal="right"/>
    </xf>
    <xf numFmtId="14" fontId="36" fillId="0" borderId="0" xfId="0" applyNumberFormat="1"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ratigraphy"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457200</xdr:colOff>
      <xdr:row>32</xdr:row>
      <xdr:rowOff>9525</xdr:rowOff>
    </xdr:to>
    <xdr:pic>
      <xdr:nvPicPr>
        <xdr:cNvPr id="1" name="Picture 1"/>
        <xdr:cNvPicPr preferRelativeResize="1">
          <a:picLocks noChangeAspect="1"/>
        </xdr:cNvPicPr>
      </xdr:nvPicPr>
      <xdr:blipFill>
        <a:blip r:embed="rId1"/>
        <a:stretch>
          <a:fillRect/>
        </a:stretch>
      </xdr:blipFill>
      <xdr:spPr>
        <a:xfrm>
          <a:off x="0" y="0"/>
          <a:ext cx="10058400" cy="580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12</xdr:col>
      <xdr:colOff>9525</xdr:colOff>
      <xdr:row>41</xdr:row>
      <xdr:rowOff>171450</xdr:rowOff>
    </xdr:to>
    <xdr:pic>
      <xdr:nvPicPr>
        <xdr:cNvPr id="1" name="Picture 2"/>
        <xdr:cNvPicPr preferRelativeResize="1">
          <a:picLocks noChangeAspect="1"/>
        </xdr:cNvPicPr>
      </xdr:nvPicPr>
      <xdr:blipFill>
        <a:blip r:embed="rId1"/>
        <a:stretch>
          <a:fillRect/>
        </a:stretch>
      </xdr:blipFill>
      <xdr:spPr>
        <a:xfrm>
          <a:off x="28575" y="0"/>
          <a:ext cx="9448800" cy="7591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25</xdr:row>
      <xdr:rowOff>9525</xdr:rowOff>
    </xdr:from>
    <xdr:to>
      <xdr:col>7</xdr:col>
      <xdr:colOff>9525</xdr:colOff>
      <xdr:row>26</xdr:row>
      <xdr:rowOff>0</xdr:rowOff>
    </xdr:to>
    <xdr:sp fLocksText="0">
      <xdr:nvSpPr>
        <xdr:cNvPr id="1" name="TextBox 1"/>
        <xdr:cNvSpPr txBox="1">
          <a:spLocks noChangeArrowheads="1"/>
        </xdr:cNvSpPr>
      </xdr:nvSpPr>
      <xdr:spPr>
        <a:xfrm>
          <a:off x="3800475" y="4686300"/>
          <a:ext cx="124777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tabSelected="1" zoomScale="85" zoomScaleNormal="85" zoomScalePageLayoutView="0" workbookViewId="0" topLeftCell="A1">
      <selection activeCell="Q1" sqref="Q1"/>
    </sheetView>
  </sheetViews>
  <sheetFormatPr defaultColWidth="9.00390625" defaultRowHeight="14.25"/>
  <cols>
    <col min="1" max="1" width="10.125" style="0" customWidth="1"/>
    <col min="2" max="2" width="9.75390625" style="2" customWidth="1"/>
    <col min="3" max="3" width="11.625" style="1" customWidth="1"/>
    <col min="4" max="4" width="10.125" style="1" customWidth="1"/>
    <col min="5" max="5" width="10.125" style="11" customWidth="1"/>
    <col min="6" max="6" width="11.25390625" style="1" customWidth="1"/>
    <col min="7" max="7" width="9.50390625" style="1" customWidth="1"/>
    <col min="8" max="8" width="9.00390625" style="1" customWidth="1"/>
    <col min="9" max="9" width="9.875" style="1" customWidth="1"/>
    <col min="10" max="10" width="9.875" style="5" customWidth="1"/>
    <col min="11" max="11" width="11.125" style="1" customWidth="1"/>
    <col min="12" max="12" width="11.125" style="11" customWidth="1"/>
    <col min="13" max="13" width="9.75390625" style="0" customWidth="1"/>
    <col min="14" max="14" width="10.50390625" style="0" customWidth="1"/>
    <col min="15" max="15" width="9.875" style="0" bestFit="1" customWidth="1"/>
    <col min="16" max="16" width="1.12109375" style="0" hidden="1" customWidth="1"/>
    <col min="17" max="17" width="8.375" style="0" customWidth="1"/>
    <col min="18" max="18" width="1.75390625" style="0" customWidth="1"/>
  </cols>
  <sheetData>
    <row r="1" spans="1:16" ht="13.5">
      <c r="A1" s="174" t="s">
        <v>67</v>
      </c>
      <c r="B1" s="175"/>
      <c r="C1" s="175"/>
      <c r="D1" s="175"/>
      <c r="E1" s="175"/>
      <c r="F1" s="175"/>
      <c r="G1" s="175"/>
      <c r="H1" s="175"/>
      <c r="I1" s="175"/>
      <c r="J1" s="175"/>
      <c r="K1" s="175"/>
      <c r="L1" s="175"/>
      <c r="M1" s="175"/>
      <c r="N1" s="175"/>
      <c r="O1" s="176"/>
      <c r="P1" s="16"/>
    </row>
    <row r="2" spans="1:16" ht="13.5">
      <c r="A2" s="128"/>
      <c r="B2" s="129"/>
      <c r="C2" s="129"/>
      <c r="D2" s="129"/>
      <c r="E2" s="129"/>
      <c r="F2" s="129"/>
      <c r="G2" s="129"/>
      <c r="H2" s="129"/>
      <c r="I2" s="129"/>
      <c r="J2" s="129"/>
      <c r="K2" s="129"/>
      <c r="L2" s="129"/>
      <c r="M2" s="129"/>
      <c r="N2" s="129"/>
      <c r="O2" s="130"/>
      <c r="P2" s="16"/>
    </row>
    <row r="3" spans="1:15" s="16" customFormat="1" ht="27.75" customHeight="1">
      <c r="A3" s="128"/>
      <c r="B3" s="129"/>
      <c r="C3" s="129"/>
      <c r="D3" s="129"/>
      <c r="E3" s="129"/>
      <c r="F3" s="129"/>
      <c r="G3" s="129"/>
      <c r="H3" s="129"/>
      <c r="I3" s="129"/>
      <c r="J3" s="129"/>
      <c r="K3" s="129"/>
      <c r="L3" s="129"/>
      <c r="M3" s="129"/>
      <c r="N3" s="129"/>
      <c r="O3" s="130"/>
    </row>
    <row r="4" spans="1:15" s="16" customFormat="1" ht="14.25" customHeight="1">
      <c r="A4" s="128" t="s">
        <v>68</v>
      </c>
      <c r="B4" s="129"/>
      <c r="C4" s="129"/>
      <c r="D4" s="129"/>
      <c r="E4" s="129"/>
      <c r="F4" s="129"/>
      <c r="G4" s="129"/>
      <c r="H4" s="129"/>
      <c r="I4" s="129"/>
      <c r="J4" s="129"/>
      <c r="K4" s="129"/>
      <c r="L4" s="129"/>
      <c r="M4" s="129"/>
      <c r="N4" s="129"/>
      <c r="O4" s="130"/>
    </row>
    <row r="5" spans="1:15" s="16" customFormat="1" ht="14.25" customHeight="1">
      <c r="A5" s="128"/>
      <c r="B5" s="129"/>
      <c r="C5" s="129"/>
      <c r="D5" s="129"/>
      <c r="E5" s="129"/>
      <c r="F5" s="129"/>
      <c r="G5" s="129"/>
      <c r="H5" s="129"/>
      <c r="I5" s="129"/>
      <c r="J5" s="129"/>
      <c r="K5" s="129"/>
      <c r="L5" s="129"/>
      <c r="M5" s="129"/>
      <c r="N5" s="129"/>
      <c r="O5" s="130"/>
    </row>
    <row r="6" spans="1:15" s="16" customFormat="1" ht="13.5">
      <c r="A6" s="128"/>
      <c r="B6" s="129"/>
      <c r="C6" s="129"/>
      <c r="D6" s="129"/>
      <c r="E6" s="129"/>
      <c r="F6" s="129"/>
      <c r="G6" s="129"/>
      <c r="H6" s="129"/>
      <c r="I6" s="129"/>
      <c r="J6" s="129"/>
      <c r="K6" s="129"/>
      <c r="L6" s="129"/>
      <c r="M6" s="129"/>
      <c r="N6" s="129"/>
      <c r="O6" s="130"/>
    </row>
    <row r="7" spans="1:15" s="16" customFormat="1" ht="13.5">
      <c r="A7" s="128"/>
      <c r="B7" s="129"/>
      <c r="C7" s="129"/>
      <c r="D7" s="129"/>
      <c r="E7" s="129"/>
      <c r="F7" s="129"/>
      <c r="G7" s="129"/>
      <c r="H7" s="129"/>
      <c r="I7" s="129"/>
      <c r="J7" s="129"/>
      <c r="K7" s="129"/>
      <c r="L7" s="129"/>
      <c r="M7" s="129"/>
      <c r="N7" s="129"/>
      <c r="O7" s="130"/>
    </row>
    <row r="8" spans="1:15" s="16" customFormat="1" ht="14.25" thickBot="1">
      <c r="A8" s="131"/>
      <c r="B8" s="132"/>
      <c r="C8" s="132"/>
      <c r="D8" s="132"/>
      <c r="E8" s="132"/>
      <c r="F8" s="132"/>
      <c r="G8" s="132"/>
      <c r="H8" s="132"/>
      <c r="I8" s="132"/>
      <c r="J8" s="132"/>
      <c r="K8" s="132"/>
      <c r="L8" s="132"/>
      <c r="M8" s="132"/>
      <c r="N8" s="132"/>
      <c r="O8" s="133"/>
    </row>
    <row r="9" spans="1:15" s="16" customFormat="1" ht="13.5">
      <c r="A9" s="137"/>
      <c r="B9" s="138"/>
      <c r="C9" s="67"/>
      <c r="D9" s="67"/>
      <c r="E9" s="68" t="s">
        <v>24</v>
      </c>
      <c r="F9" s="146" t="s">
        <v>18</v>
      </c>
      <c r="G9" s="146"/>
      <c r="H9" s="69"/>
      <c r="I9" s="146" t="s">
        <v>38</v>
      </c>
      <c r="J9" s="147"/>
      <c r="K9" s="45"/>
      <c r="L9" s="45"/>
      <c r="M9" s="45"/>
      <c r="N9" s="45"/>
      <c r="O9" s="45"/>
    </row>
    <row r="10" spans="1:15" s="16" customFormat="1" ht="13.5">
      <c r="A10" s="156" t="s">
        <v>23</v>
      </c>
      <c r="B10" s="146"/>
      <c r="C10" s="146"/>
      <c r="D10" s="67" t="s">
        <v>5</v>
      </c>
      <c r="E10" s="67" t="s">
        <v>7</v>
      </c>
      <c r="F10" s="146" t="s">
        <v>22</v>
      </c>
      <c r="G10" s="146"/>
      <c r="H10" s="67" t="s">
        <v>40</v>
      </c>
      <c r="I10" s="146" t="s">
        <v>39</v>
      </c>
      <c r="J10" s="147"/>
      <c r="K10" s="44"/>
      <c r="L10" s="44"/>
      <c r="M10" s="44"/>
      <c r="N10" s="44"/>
      <c r="O10" s="44"/>
    </row>
    <row r="11" spans="1:15" s="16" customFormat="1" ht="14.25">
      <c r="A11" s="185" t="s">
        <v>14</v>
      </c>
      <c r="B11" s="186"/>
      <c r="C11" s="186"/>
      <c r="D11" s="121">
        <f>0.001*60*60*24</f>
        <v>86.39999999999999</v>
      </c>
      <c r="E11" s="122">
        <v>0.008</v>
      </c>
      <c r="F11" s="173">
        <f>E11*D11</f>
        <v>0.6911999999999999</v>
      </c>
      <c r="G11" s="173"/>
      <c r="H11" s="121">
        <v>0.3</v>
      </c>
      <c r="I11" s="173">
        <f>F11/H11</f>
        <v>2.304</v>
      </c>
      <c r="J11" s="187"/>
      <c r="K11" s="44"/>
      <c r="L11" s="44"/>
      <c r="M11" s="44"/>
      <c r="N11" s="44"/>
      <c r="O11" s="44"/>
    </row>
    <row r="12" spans="1:15" s="16" customFormat="1" ht="15" thickBot="1">
      <c r="A12" s="188" t="s">
        <v>56</v>
      </c>
      <c r="B12" s="189"/>
      <c r="C12" s="189"/>
      <c r="D12" s="123">
        <f>0.0005*60*60*24</f>
        <v>43.199999999999996</v>
      </c>
      <c r="E12" s="124">
        <v>0.008</v>
      </c>
      <c r="F12" s="139">
        <f>E12*D12</f>
        <v>0.34559999999999996</v>
      </c>
      <c r="G12" s="139"/>
      <c r="H12" s="123">
        <v>0.3</v>
      </c>
      <c r="I12" s="139">
        <f>F12/H12</f>
        <v>1.152</v>
      </c>
      <c r="J12" s="140"/>
      <c r="K12" s="45"/>
      <c r="L12" s="44"/>
      <c r="M12" s="44"/>
      <c r="N12" s="44"/>
      <c r="O12" s="44"/>
    </row>
    <row r="13" spans="1:15" s="16" customFormat="1" ht="13.5">
      <c r="A13" s="64"/>
      <c r="B13" s="64"/>
      <c r="C13" s="64"/>
      <c r="D13" s="64"/>
      <c r="E13" s="52"/>
      <c r="F13" s="64"/>
      <c r="G13" s="64"/>
      <c r="H13" s="64"/>
      <c r="I13" s="64"/>
      <c r="J13" s="64"/>
      <c r="K13" s="63"/>
      <c r="L13" s="62"/>
      <c r="M13" s="62"/>
      <c r="N13" s="62"/>
      <c r="O13" s="62"/>
    </row>
    <row r="14" spans="1:15" s="16" customFormat="1" ht="15" customHeight="1">
      <c r="A14" s="128" t="s">
        <v>63</v>
      </c>
      <c r="B14" s="129"/>
      <c r="C14" s="129"/>
      <c r="D14" s="129"/>
      <c r="E14" s="129"/>
      <c r="F14" s="129"/>
      <c r="G14" s="129"/>
      <c r="H14" s="129"/>
      <c r="I14" s="129"/>
      <c r="J14" s="129"/>
      <c r="K14" s="129"/>
      <c r="L14" s="129"/>
      <c r="M14" s="129"/>
      <c r="N14" s="129"/>
      <c r="O14" s="129"/>
    </row>
    <row r="15" spans="1:15" s="16" customFormat="1" ht="15" customHeight="1" thickBot="1">
      <c r="A15" s="131"/>
      <c r="B15" s="132"/>
      <c r="C15" s="132"/>
      <c r="D15" s="132"/>
      <c r="E15" s="132"/>
      <c r="F15" s="132"/>
      <c r="G15" s="132"/>
      <c r="H15" s="132"/>
      <c r="I15" s="132"/>
      <c r="J15" s="132"/>
      <c r="K15" s="132"/>
      <c r="L15" s="132"/>
      <c r="M15" s="132"/>
      <c r="N15" s="132"/>
      <c r="O15" s="132"/>
    </row>
    <row r="16" spans="1:15" ht="13.5">
      <c r="A16" s="190" t="s">
        <v>13</v>
      </c>
      <c r="B16" s="191"/>
      <c r="C16" s="191"/>
      <c r="D16" s="94" t="s">
        <v>26</v>
      </c>
      <c r="E16" s="94" t="s">
        <v>27</v>
      </c>
      <c r="F16" s="94" t="s">
        <v>28</v>
      </c>
      <c r="G16" s="94" t="s">
        <v>29</v>
      </c>
      <c r="H16" s="94" t="s">
        <v>30</v>
      </c>
      <c r="I16" s="94" t="s">
        <v>31</v>
      </c>
      <c r="J16" s="94" t="s">
        <v>32</v>
      </c>
      <c r="K16" s="94" t="s">
        <v>33</v>
      </c>
      <c r="L16" s="94" t="s">
        <v>34</v>
      </c>
      <c r="M16" s="94" t="s">
        <v>35</v>
      </c>
      <c r="N16" s="94" t="s">
        <v>36</v>
      </c>
      <c r="O16" s="95" t="s">
        <v>37</v>
      </c>
    </row>
    <row r="17" spans="1:15" ht="13.5" hidden="1">
      <c r="A17" s="46"/>
      <c r="B17" s="47"/>
      <c r="C17" s="47" t="s">
        <v>4</v>
      </c>
      <c r="D17" s="96">
        <v>126.25</v>
      </c>
      <c r="E17" s="96"/>
      <c r="F17" s="96">
        <v>183.75</v>
      </c>
      <c r="G17" s="96">
        <v>190.63</v>
      </c>
      <c r="H17" s="96">
        <f>300+20*15/16</f>
        <v>318.75</v>
      </c>
      <c r="I17" s="96">
        <f>300+40+1/32</f>
        <v>340.03125</v>
      </c>
      <c r="J17" s="96"/>
      <c r="K17" s="96">
        <v>410</v>
      </c>
      <c r="L17" s="96"/>
      <c r="M17" s="96">
        <f>500+1/32</f>
        <v>500.03125</v>
      </c>
      <c r="N17" s="96">
        <f>550-20/16</f>
        <v>548.75</v>
      </c>
      <c r="O17" s="97">
        <f>600+20/4</f>
        <v>605</v>
      </c>
    </row>
    <row r="18" spans="1:15" ht="14.25" thickBot="1">
      <c r="A18" s="165" t="s">
        <v>47</v>
      </c>
      <c r="B18" s="166"/>
      <c r="C18" s="166"/>
      <c r="D18" s="98">
        <v>60</v>
      </c>
      <c r="E18" s="98">
        <v>67</v>
      </c>
      <c r="F18" s="98">
        <v>370</v>
      </c>
      <c r="G18" s="98">
        <v>500</v>
      </c>
      <c r="H18" s="98">
        <v>510</v>
      </c>
      <c r="I18" s="98">
        <v>555</v>
      </c>
      <c r="J18" s="98">
        <v>565</v>
      </c>
      <c r="K18" s="98">
        <v>570</v>
      </c>
      <c r="L18" s="98">
        <v>585</v>
      </c>
      <c r="M18" s="98">
        <v>587</v>
      </c>
      <c r="N18" s="98">
        <v>731</v>
      </c>
      <c r="O18" s="99">
        <v>911</v>
      </c>
    </row>
    <row r="19" spans="1:15" ht="14.25" thickBot="1">
      <c r="A19" s="151" t="s">
        <v>12</v>
      </c>
      <c r="B19" s="163" t="s">
        <v>0</v>
      </c>
      <c r="C19" s="164"/>
      <c r="D19" s="100">
        <v>282</v>
      </c>
      <c r="E19" s="100">
        <v>282</v>
      </c>
      <c r="F19" s="100">
        <v>282</v>
      </c>
      <c r="G19" s="100">
        <v>282</v>
      </c>
      <c r="H19" s="100">
        <v>282</v>
      </c>
      <c r="I19" s="100">
        <v>282</v>
      </c>
      <c r="J19" s="100">
        <v>282</v>
      </c>
      <c r="K19" s="100">
        <v>282</v>
      </c>
      <c r="L19" s="100">
        <v>282</v>
      </c>
      <c r="M19" s="100">
        <v>282</v>
      </c>
      <c r="N19" s="100">
        <v>282</v>
      </c>
      <c r="O19" s="101">
        <v>282</v>
      </c>
    </row>
    <row r="20" spans="1:15" ht="14.25" customHeight="1" thickBot="1">
      <c r="A20" s="152"/>
      <c r="B20" s="157" t="s">
        <v>1</v>
      </c>
      <c r="C20" s="112" t="str">
        <f>$A$11</f>
        <v>Sand</v>
      </c>
      <c r="D20" s="102">
        <v>254</v>
      </c>
      <c r="E20" s="102">
        <v>254</v>
      </c>
      <c r="F20" s="102">
        <v>254</v>
      </c>
      <c r="G20" s="102">
        <v>254</v>
      </c>
      <c r="H20" s="102">
        <v>254</v>
      </c>
      <c r="I20" s="102">
        <v>254</v>
      </c>
      <c r="J20" s="102">
        <v>254</v>
      </c>
      <c r="K20" s="102">
        <v>254</v>
      </c>
      <c r="L20" s="102">
        <v>254</v>
      </c>
      <c r="M20" s="102">
        <v>254</v>
      </c>
      <c r="N20" s="102">
        <v>254</v>
      </c>
      <c r="O20" s="103">
        <v>254</v>
      </c>
    </row>
    <row r="21" spans="1:15" s="10" customFormat="1" ht="14.25" customHeight="1" thickBot="1">
      <c r="A21" s="152"/>
      <c r="B21" s="158"/>
      <c r="C21" s="113" t="str">
        <f>$A$12</f>
        <v>Silty Sand</v>
      </c>
      <c r="D21" s="104">
        <v>252</v>
      </c>
      <c r="E21" s="104">
        <v>252</v>
      </c>
      <c r="F21" s="104">
        <v>250</v>
      </c>
      <c r="G21" s="104">
        <v>249</v>
      </c>
      <c r="H21" s="104">
        <v>249</v>
      </c>
      <c r="I21" s="104">
        <v>248</v>
      </c>
      <c r="J21" s="104">
        <v>248</v>
      </c>
      <c r="K21" s="104">
        <v>248</v>
      </c>
      <c r="L21" s="104">
        <v>248</v>
      </c>
      <c r="M21" s="104">
        <v>248</v>
      </c>
      <c r="N21" s="104">
        <v>248</v>
      </c>
      <c r="O21" s="105">
        <v>248</v>
      </c>
    </row>
    <row r="22" spans="1:15" ht="13.5">
      <c r="A22" s="152"/>
      <c r="B22" s="192" t="s">
        <v>6</v>
      </c>
      <c r="C22" s="49" t="s">
        <v>2</v>
      </c>
      <c r="D22" s="102">
        <v>281</v>
      </c>
      <c r="E22" s="106">
        <v>254</v>
      </c>
      <c r="F22" s="102">
        <v>281</v>
      </c>
      <c r="G22" s="102">
        <v>282</v>
      </c>
      <c r="H22" s="102">
        <v>282</v>
      </c>
      <c r="I22" s="102">
        <v>282</v>
      </c>
      <c r="J22" s="102">
        <v>282</v>
      </c>
      <c r="K22" s="102">
        <v>282</v>
      </c>
      <c r="L22" s="106">
        <v>254</v>
      </c>
      <c r="M22" s="102">
        <v>282</v>
      </c>
      <c r="N22" s="102">
        <v>283</v>
      </c>
      <c r="O22" s="103">
        <v>283</v>
      </c>
    </row>
    <row r="23" spans="1:15" ht="14.25" thickBot="1">
      <c r="A23" s="153"/>
      <c r="B23" s="193"/>
      <c r="C23" s="25" t="s">
        <v>3</v>
      </c>
      <c r="D23" s="107">
        <v>271</v>
      </c>
      <c r="E23" s="104">
        <v>249</v>
      </c>
      <c r="F23" s="107">
        <v>271</v>
      </c>
      <c r="G23" s="107">
        <v>277</v>
      </c>
      <c r="H23" s="107">
        <v>277</v>
      </c>
      <c r="I23" s="107">
        <v>277</v>
      </c>
      <c r="J23" s="107">
        <v>277</v>
      </c>
      <c r="K23" s="107">
        <v>277</v>
      </c>
      <c r="L23" s="104">
        <v>249</v>
      </c>
      <c r="M23" s="107">
        <v>272</v>
      </c>
      <c r="N23" s="107">
        <v>273</v>
      </c>
      <c r="O23" s="108">
        <v>273</v>
      </c>
    </row>
    <row r="24" spans="1:15" s="16" customFormat="1" ht="15" thickBot="1">
      <c r="A24" s="181" t="s">
        <v>62</v>
      </c>
      <c r="B24" s="163" t="s">
        <v>52</v>
      </c>
      <c r="C24" s="184"/>
      <c r="D24" s="70">
        <f>0.5*(E18-D18)</f>
        <v>3.5</v>
      </c>
      <c r="E24" s="70">
        <f>0.5*(F18-D18)</f>
        <v>155</v>
      </c>
      <c r="F24" s="70">
        <f aca="true" t="shared" si="0" ref="F24:N24">0.5*(G18-E18)</f>
        <v>216.5</v>
      </c>
      <c r="G24" s="70">
        <f t="shared" si="0"/>
        <v>70</v>
      </c>
      <c r="H24" s="70">
        <f t="shared" si="0"/>
        <v>27.5</v>
      </c>
      <c r="I24" s="70">
        <f t="shared" si="0"/>
        <v>27.5</v>
      </c>
      <c r="J24" s="70">
        <f t="shared" si="0"/>
        <v>7.5</v>
      </c>
      <c r="K24" s="70">
        <f t="shared" si="0"/>
        <v>10</v>
      </c>
      <c r="L24" s="70">
        <f t="shared" si="0"/>
        <v>8.5</v>
      </c>
      <c r="M24" s="70">
        <f t="shared" si="0"/>
        <v>73</v>
      </c>
      <c r="N24" s="70">
        <f t="shared" si="0"/>
        <v>162</v>
      </c>
      <c r="O24" s="70">
        <f>0.5*(O18-N18)</f>
        <v>90</v>
      </c>
    </row>
    <row r="25" spans="1:15" s="16" customFormat="1" ht="15" thickBot="1">
      <c r="A25" s="182"/>
      <c r="B25" s="154" t="s">
        <v>53</v>
      </c>
      <c r="C25" s="112" t="str">
        <f>$A$11</f>
        <v>Sand</v>
      </c>
      <c r="D25" s="71">
        <f>0.5*(D19-D20+E19-E20)</f>
        <v>28</v>
      </c>
      <c r="E25" s="71">
        <f>0.5*(D19-D20+F19-F20)</f>
        <v>28</v>
      </c>
      <c r="F25" s="71">
        <f aca="true" t="shared" si="1" ref="F25:N25">0.5*(E19-E20+G19-G20)</f>
        <v>28</v>
      </c>
      <c r="G25" s="71">
        <f t="shared" si="1"/>
        <v>28</v>
      </c>
      <c r="H25" s="71">
        <f t="shared" si="1"/>
        <v>28</v>
      </c>
      <c r="I25" s="71">
        <f t="shared" si="1"/>
        <v>28</v>
      </c>
      <c r="J25" s="71">
        <f t="shared" si="1"/>
        <v>28</v>
      </c>
      <c r="K25" s="71">
        <f t="shared" si="1"/>
        <v>28</v>
      </c>
      <c r="L25" s="71">
        <f t="shared" si="1"/>
        <v>28</v>
      </c>
      <c r="M25" s="71">
        <f t="shared" si="1"/>
        <v>28</v>
      </c>
      <c r="N25" s="71">
        <f t="shared" si="1"/>
        <v>28</v>
      </c>
      <c r="O25" s="71">
        <f>0.5*(N19-N20+O19-O20)</f>
        <v>28</v>
      </c>
    </row>
    <row r="26" spans="1:15" s="16" customFormat="1" ht="17.25" customHeight="1" thickBot="1">
      <c r="A26" s="183"/>
      <c r="B26" s="155"/>
      <c r="C26" s="113" t="str">
        <f>$A$12</f>
        <v>Silty Sand</v>
      </c>
      <c r="D26" s="72">
        <f>0.5*(D20-D21+E20-E21)</f>
        <v>2</v>
      </c>
      <c r="E26" s="72">
        <f>0.5*(D20-D21+F20-F21)</f>
        <v>3</v>
      </c>
      <c r="F26" s="72">
        <f aca="true" t="shared" si="2" ref="F26:N26">0.5*(E20-E21+G20-G21)</f>
        <v>3.5</v>
      </c>
      <c r="G26" s="72">
        <f t="shared" si="2"/>
        <v>4.5</v>
      </c>
      <c r="H26" s="72">
        <f t="shared" si="2"/>
        <v>5.5</v>
      </c>
      <c r="I26" s="72">
        <f t="shared" si="2"/>
        <v>5.5</v>
      </c>
      <c r="J26" s="72">
        <f t="shared" si="2"/>
        <v>6</v>
      </c>
      <c r="K26" s="72">
        <f t="shared" si="2"/>
        <v>6</v>
      </c>
      <c r="L26" s="72">
        <f t="shared" si="2"/>
        <v>6</v>
      </c>
      <c r="M26" s="72">
        <f t="shared" si="2"/>
        <v>6</v>
      </c>
      <c r="N26" s="72">
        <f t="shared" si="2"/>
        <v>6</v>
      </c>
      <c r="O26" s="72">
        <f>0.5*(N20-N21+O20-O21)</f>
        <v>6</v>
      </c>
    </row>
    <row r="27" spans="1:15" ht="15" thickBot="1">
      <c r="A27" s="159" t="s">
        <v>44</v>
      </c>
      <c r="B27" s="160"/>
      <c r="C27" s="112" t="str">
        <f>$A$11</f>
        <v>Sand</v>
      </c>
      <c r="D27" s="71">
        <f>D24*D25*$F11</f>
        <v>67.73759999999999</v>
      </c>
      <c r="E27" s="71">
        <f aca="true" t="shared" si="3" ref="E27:O27">E24*E25*$F11</f>
        <v>2999.8079999999995</v>
      </c>
      <c r="F27" s="71">
        <f t="shared" si="3"/>
        <v>4190.0544</v>
      </c>
      <c r="G27" s="71">
        <f t="shared" si="3"/>
        <v>1354.752</v>
      </c>
      <c r="H27" s="71">
        <f t="shared" si="3"/>
        <v>532.2239999999999</v>
      </c>
      <c r="I27" s="71">
        <f t="shared" si="3"/>
        <v>532.2239999999999</v>
      </c>
      <c r="J27" s="71">
        <f t="shared" si="3"/>
        <v>145.152</v>
      </c>
      <c r="K27" s="71">
        <f t="shared" si="3"/>
        <v>193.53599999999997</v>
      </c>
      <c r="L27" s="71">
        <f t="shared" si="3"/>
        <v>164.5056</v>
      </c>
      <c r="M27" s="71">
        <f t="shared" si="3"/>
        <v>1412.8128</v>
      </c>
      <c r="N27" s="71">
        <f t="shared" si="3"/>
        <v>3135.2832</v>
      </c>
      <c r="O27" s="71">
        <f t="shared" si="3"/>
        <v>1741.8239999999998</v>
      </c>
    </row>
    <row r="28" spans="1:15" ht="15" thickBot="1">
      <c r="A28" s="161"/>
      <c r="B28" s="162"/>
      <c r="C28" s="114" t="str">
        <f>$A$12</f>
        <v>Silty Sand</v>
      </c>
      <c r="D28" s="73">
        <f>D24*D26*$F12</f>
        <v>2.4191999999999996</v>
      </c>
      <c r="E28" s="73">
        <f aca="true" t="shared" si="4" ref="E28:O28">E24*E26*$F12</f>
        <v>160.70399999999998</v>
      </c>
      <c r="F28" s="73">
        <f t="shared" si="4"/>
        <v>261.8784</v>
      </c>
      <c r="G28" s="73">
        <f t="shared" si="4"/>
        <v>108.86399999999999</v>
      </c>
      <c r="H28" s="73">
        <f t="shared" si="4"/>
        <v>52.27199999999999</v>
      </c>
      <c r="I28" s="73">
        <f t="shared" si="4"/>
        <v>52.27199999999999</v>
      </c>
      <c r="J28" s="73">
        <f t="shared" si="4"/>
        <v>15.551999999999998</v>
      </c>
      <c r="K28" s="73">
        <f t="shared" si="4"/>
        <v>20.735999999999997</v>
      </c>
      <c r="L28" s="73">
        <f t="shared" si="4"/>
        <v>17.6256</v>
      </c>
      <c r="M28" s="73">
        <f t="shared" si="4"/>
        <v>151.37279999999998</v>
      </c>
      <c r="N28" s="73">
        <f t="shared" si="4"/>
        <v>335.92319999999995</v>
      </c>
      <c r="O28" s="73">
        <f t="shared" si="4"/>
        <v>186.62399999999997</v>
      </c>
    </row>
    <row r="29" spans="1:15" ht="15" thickBot="1">
      <c r="A29" s="179" t="s">
        <v>48</v>
      </c>
      <c r="B29" s="180"/>
      <c r="C29" s="74">
        <f>SUM(D27:O28)</f>
        <v>17836.156800000008</v>
      </c>
      <c r="D29" s="50" t="s">
        <v>57</v>
      </c>
      <c r="E29" s="50"/>
      <c r="F29" s="50"/>
      <c r="G29" s="50"/>
      <c r="H29" s="50"/>
      <c r="I29" s="50"/>
      <c r="J29" s="50"/>
      <c r="K29" s="50"/>
      <c r="L29" s="50"/>
      <c r="M29" s="50"/>
      <c r="N29" s="50"/>
      <c r="O29" s="51"/>
    </row>
    <row r="30" spans="1:15" ht="14.25" customHeight="1">
      <c r="A30" s="134" t="s">
        <v>64</v>
      </c>
      <c r="B30" s="135"/>
      <c r="C30" s="135"/>
      <c r="D30" s="136"/>
      <c r="E30" s="57"/>
      <c r="F30" s="167" t="s">
        <v>54</v>
      </c>
      <c r="G30" s="168"/>
      <c r="H30" s="168"/>
      <c r="I30" s="168"/>
      <c r="J30" s="168"/>
      <c r="K30" s="168"/>
      <c r="L30" s="168"/>
      <c r="M30" s="41"/>
      <c r="N30" s="177"/>
      <c r="O30" s="178"/>
    </row>
    <row r="31" spans="1:15" ht="14.25" customHeight="1">
      <c r="A31" s="141" t="s">
        <v>59</v>
      </c>
      <c r="B31" s="142"/>
      <c r="C31" s="142"/>
      <c r="D31" s="143"/>
      <c r="E31" s="58"/>
      <c r="F31" s="171" t="str">
        <f>$A$11</f>
        <v>Sand</v>
      </c>
      <c r="G31" s="172" t="str">
        <f>$A$11</f>
        <v>Sand</v>
      </c>
      <c r="H31" s="75">
        <f>175/I11</f>
        <v>75.95486111111111</v>
      </c>
      <c r="I31" s="38" t="s">
        <v>16</v>
      </c>
      <c r="J31" s="169" t="s">
        <v>55</v>
      </c>
      <c r="K31" s="169"/>
      <c r="L31" s="169"/>
      <c r="M31" s="169"/>
      <c r="N31" s="169"/>
      <c r="O31" s="170"/>
    </row>
    <row r="32" spans="1:15" ht="14.25">
      <c r="A32" s="148"/>
      <c r="B32" s="149"/>
      <c r="C32" s="149"/>
      <c r="D32" s="150"/>
      <c r="E32" s="59"/>
      <c r="F32" s="171" t="str">
        <f>$A$12</f>
        <v>Silty Sand</v>
      </c>
      <c r="G32" s="172" t="str">
        <f>$A$12</f>
        <v>Silty Sand</v>
      </c>
      <c r="H32" s="75">
        <f>175/I12</f>
        <v>151.90972222222223</v>
      </c>
      <c r="I32" s="39" t="s">
        <v>16</v>
      </c>
      <c r="J32" s="169"/>
      <c r="K32" s="169"/>
      <c r="L32" s="169"/>
      <c r="M32" s="169"/>
      <c r="N32" s="169"/>
      <c r="O32" s="170"/>
    </row>
    <row r="33" spans="1:15" ht="13.5">
      <c r="A33" s="141" t="s">
        <v>11</v>
      </c>
      <c r="B33" s="142"/>
      <c r="C33" s="142"/>
      <c r="D33" s="143"/>
      <c r="E33" s="58"/>
      <c r="F33" s="144"/>
      <c r="G33" s="145"/>
      <c r="H33" s="145"/>
      <c r="I33" s="28"/>
      <c r="J33" s="169"/>
      <c r="K33" s="169"/>
      <c r="L33" s="169"/>
      <c r="M33" s="169"/>
      <c r="N33" s="169"/>
      <c r="O33" s="170"/>
    </row>
    <row r="34" spans="1:15" ht="14.25" customHeight="1">
      <c r="A34" s="19" t="s">
        <v>45</v>
      </c>
      <c r="B34" s="129" t="s">
        <v>46</v>
      </c>
      <c r="C34" s="129"/>
      <c r="D34" s="130"/>
      <c r="E34" s="58"/>
      <c r="F34" s="30"/>
      <c r="G34" s="31"/>
      <c r="H34" s="31"/>
      <c r="I34" s="31"/>
      <c r="J34" s="169"/>
      <c r="K34" s="169"/>
      <c r="L34" s="169"/>
      <c r="M34" s="169"/>
      <c r="N34" s="169"/>
      <c r="O34" s="170"/>
    </row>
    <row r="35" spans="1:15" ht="14.25" customHeight="1">
      <c r="A35" s="19" t="s">
        <v>20</v>
      </c>
      <c r="B35" s="129" t="s">
        <v>19</v>
      </c>
      <c r="C35" s="129"/>
      <c r="D35" s="130"/>
      <c r="E35" s="58"/>
      <c r="F35" s="30"/>
      <c r="G35" s="31"/>
      <c r="H35" s="31"/>
      <c r="I35" s="31"/>
      <c r="J35" s="169"/>
      <c r="K35" s="169"/>
      <c r="L35" s="169"/>
      <c r="M35" s="169"/>
      <c r="N35" s="169"/>
      <c r="O35" s="170"/>
    </row>
    <row r="36" spans="1:15" ht="14.25" customHeight="1" thickBot="1">
      <c r="A36" s="20">
        <v>28.3168</v>
      </c>
      <c r="B36" s="132" t="s">
        <v>21</v>
      </c>
      <c r="C36" s="132"/>
      <c r="D36" s="133"/>
      <c r="E36" s="60"/>
      <c r="F36" s="32"/>
      <c r="G36" s="33"/>
      <c r="H36" s="33"/>
      <c r="I36" s="33"/>
      <c r="J36" s="33"/>
      <c r="K36" s="33"/>
      <c r="L36" s="33"/>
      <c r="M36" s="33"/>
      <c r="N36" s="33"/>
      <c r="O36" s="34"/>
    </row>
    <row r="37" spans="1:15" ht="13.5">
      <c r="A37" s="3"/>
      <c r="B37" s="3"/>
      <c r="C37" s="3"/>
      <c r="D37" s="3"/>
      <c r="E37" s="9"/>
      <c r="F37" s="3"/>
      <c r="G37" s="3"/>
      <c r="H37" s="3"/>
      <c r="I37" s="3"/>
      <c r="J37" s="6"/>
      <c r="K37" s="3"/>
      <c r="L37" s="9"/>
      <c r="M37" s="3"/>
      <c r="N37" s="3"/>
      <c r="O37" s="3"/>
    </row>
    <row r="38" spans="1:15" ht="13.5">
      <c r="A38" s="31"/>
      <c r="B38" s="31"/>
      <c r="C38" s="31"/>
      <c r="D38" s="31"/>
      <c r="E38" s="31"/>
      <c r="F38" s="31"/>
      <c r="G38" s="31"/>
      <c r="H38" s="31"/>
      <c r="I38" s="31"/>
      <c r="J38" s="31"/>
      <c r="K38" s="31"/>
      <c r="L38" s="31"/>
      <c r="M38" s="31"/>
      <c r="N38" s="3"/>
      <c r="O38" s="3"/>
    </row>
    <row r="39" spans="1:15" ht="14.25" customHeight="1">
      <c r="A39" s="35"/>
      <c r="B39" s="36"/>
      <c r="C39" s="24"/>
      <c r="D39" s="35"/>
      <c r="E39" s="29"/>
      <c r="F39" s="31"/>
      <c r="G39" s="31"/>
      <c r="H39" s="31"/>
      <c r="I39" s="31"/>
      <c r="J39" s="31"/>
      <c r="K39" s="31"/>
      <c r="L39" s="31"/>
      <c r="M39" s="31"/>
      <c r="N39" s="3"/>
      <c r="O39" s="3"/>
    </row>
    <row r="40" spans="1:13" ht="13.5">
      <c r="A40" s="40"/>
      <c r="B40" s="35"/>
      <c r="C40" s="24"/>
      <c r="D40" s="29"/>
      <c r="E40" s="29"/>
      <c r="F40" s="31"/>
      <c r="G40" s="31"/>
      <c r="H40" s="31"/>
      <c r="I40" s="31"/>
      <c r="J40" s="31"/>
      <c r="K40" s="31"/>
      <c r="L40" s="31"/>
      <c r="M40" s="31"/>
    </row>
    <row r="41" spans="1:13" ht="13.5">
      <c r="A41" s="35"/>
      <c r="B41" s="35"/>
      <c r="C41" s="35"/>
      <c r="D41" s="29"/>
      <c r="E41" s="29"/>
      <c r="F41" s="31"/>
      <c r="G41" s="31"/>
      <c r="H41" s="31"/>
      <c r="I41" s="31"/>
      <c r="J41" s="31"/>
      <c r="K41" s="31"/>
      <c r="L41" s="31"/>
      <c r="M41" s="31"/>
    </row>
    <row r="42" spans="1:13" ht="13.5">
      <c r="A42" s="35"/>
      <c r="B42" s="35"/>
      <c r="C42" s="35"/>
      <c r="D42" s="29"/>
      <c r="E42" s="29"/>
      <c r="F42" s="31"/>
      <c r="G42" s="31"/>
      <c r="H42" s="31"/>
      <c r="I42" s="31"/>
      <c r="J42" s="31"/>
      <c r="K42" s="31"/>
      <c r="L42" s="31"/>
      <c r="M42" s="31"/>
    </row>
  </sheetData>
  <sheetProtection/>
  <mergeCells count="39">
    <mergeCell ref="A1:O3"/>
    <mergeCell ref="N30:O30"/>
    <mergeCell ref="A29:B29"/>
    <mergeCell ref="A24:A26"/>
    <mergeCell ref="B24:C24"/>
    <mergeCell ref="A11:C11"/>
    <mergeCell ref="I11:J11"/>
    <mergeCell ref="A12:C12"/>
    <mergeCell ref="A16:C16"/>
    <mergeCell ref="B22:B23"/>
    <mergeCell ref="F9:G9"/>
    <mergeCell ref="A18:C18"/>
    <mergeCell ref="F10:G10"/>
    <mergeCell ref="F30:L30"/>
    <mergeCell ref="A31:D31"/>
    <mergeCell ref="J31:O35"/>
    <mergeCell ref="B35:D35"/>
    <mergeCell ref="F31:G31"/>
    <mergeCell ref="F32:G32"/>
    <mergeCell ref="F11:G11"/>
    <mergeCell ref="A32:D32"/>
    <mergeCell ref="A19:A23"/>
    <mergeCell ref="B25:B26"/>
    <mergeCell ref="A10:C10"/>
    <mergeCell ref="B20:B21"/>
    <mergeCell ref="A27:B28"/>
    <mergeCell ref="B19:C19"/>
    <mergeCell ref="A14:O15"/>
    <mergeCell ref="I10:J10"/>
    <mergeCell ref="A4:O8"/>
    <mergeCell ref="B34:D34"/>
    <mergeCell ref="A30:D30"/>
    <mergeCell ref="A9:B9"/>
    <mergeCell ref="I12:J12"/>
    <mergeCell ref="B36:D36"/>
    <mergeCell ref="A33:D33"/>
    <mergeCell ref="F33:H33"/>
    <mergeCell ref="F12:G12"/>
    <mergeCell ref="I9:J9"/>
  </mergeCells>
  <printOptions gridLines="1"/>
  <pageMargins left="0.7" right="0.7" top="0.75" bottom="0.75" header="0.3" footer="0.3"/>
  <pageSetup fitToHeight="1" fitToWidth="1" horizontalDpi="600" verticalDpi="600" orientation="landscape" scale="73" r:id="rId1"/>
  <headerFooter>
    <oddHeader>&amp;C&amp;14Monitoring Well Input for Simple Activity-Flux Calculations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85" zoomScaleNormal="85" zoomScalePageLayoutView="0" workbookViewId="0" topLeftCell="A1">
      <selection activeCell="E37" sqref="E37"/>
    </sheetView>
  </sheetViews>
  <sheetFormatPr defaultColWidth="9.00390625" defaultRowHeight="14.25"/>
  <sheetData/>
  <sheetProtection/>
  <printOptions/>
  <pageMargins left="0.7" right="0.7" top="0.75" bottom="0.75" header="0.3" footer="0.3"/>
  <pageSetup fitToHeight="1" fitToWidth="1" horizontalDpi="600" verticalDpi="600" orientation="landscape"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2"/>
  <sheetViews>
    <sheetView zoomScale="70" zoomScaleNormal="70" zoomScalePageLayoutView="0" workbookViewId="0" topLeftCell="A1">
      <selection activeCell="O35" sqref="O35"/>
    </sheetView>
  </sheetViews>
  <sheetFormatPr defaultColWidth="9.00390625" defaultRowHeight="14.25"/>
  <cols>
    <col min="1" max="1" width="25.25390625" style="16" customWidth="1"/>
  </cols>
  <sheetData>
    <row r="1" spans="1:15" ht="14.25">
      <c r="A1" s="23"/>
      <c r="B1" s="23"/>
      <c r="C1" s="23"/>
      <c r="D1" s="23"/>
      <c r="E1" s="23"/>
      <c r="F1" s="23"/>
      <c r="G1" s="23"/>
      <c r="H1" s="23"/>
      <c r="I1" s="23"/>
      <c r="J1" s="23"/>
      <c r="K1" s="23"/>
      <c r="L1" s="23"/>
      <c r="M1" s="23"/>
      <c r="N1" s="23"/>
      <c r="O1" s="23"/>
    </row>
    <row r="2" spans="1:15" ht="14.25">
      <c r="A2" s="23"/>
      <c r="B2" s="61"/>
      <c r="C2" s="61"/>
      <c r="D2" s="61"/>
      <c r="E2" s="61"/>
      <c r="F2" s="61"/>
      <c r="G2" s="61"/>
      <c r="H2" s="61"/>
      <c r="I2" s="61"/>
      <c r="J2" s="61"/>
      <c r="K2" s="61"/>
      <c r="L2" s="61"/>
      <c r="M2" s="61"/>
      <c r="N2" s="23"/>
      <c r="O2" s="23"/>
    </row>
    <row r="3" spans="1:15" ht="14.25">
      <c r="A3" s="23"/>
      <c r="B3" s="61"/>
      <c r="C3" s="61"/>
      <c r="D3" s="61"/>
      <c r="E3" s="61"/>
      <c r="F3" s="61"/>
      <c r="G3" s="61"/>
      <c r="H3" s="61"/>
      <c r="I3" s="61"/>
      <c r="J3" s="61"/>
      <c r="K3" s="61"/>
      <c r="L3" s="61"/>
      <c r="M3" s="61"/>
      <c r="N3" s="23"/>
      <c r="O3" s="23"/>
    </row>
    <row r="4" spans="1:15" ht="14.25">
      <c r="A4" s="23"/>
      <c r="B4" s="61"/>
      <c r="C4" s="61"/>
      <c r="D4" s="61"/>
      <c r="E4" s="61"/>
      <c r="F4" s="61"/>
      <c r="G4" s="61"/>
      <c r="H4" s="61"/>
      <c r="I4" s="61"/>
      <c r="J4" s="61"/>
      <c r="K4" s="61"/>
      <c r="L4" s="61"/>
      <c r="M4" s="61"/>
      <c r="N4" s="23"/>
      <c r="O4" s="23"/>
    </row>
    <row r="5" spans="1:15" ht="14.25">
      <c r="A5" s="23"/>
      <c r="B5" s="61"/>
      <c r="C5" s="61"/>
      <c r="D5" s="61"/>
      <c r="E5" s="61"/>
      <c r="F5" s="61"/>
      <c r="G5" s="61"/>
      <c r="H5" s="61"/>
      <c r="I5" s="61"/>
      <c r="J5" s="61"/>
      <c r="K5" s="61"/>
      <c r="L5" s="61"/>
      <c r="M5" s="61"/>
      <c r="N5" s="23"/>
      <c r="O5" s="23"/>
    </row>
    <row r="6" spans="1:15" ht="14.25">
      <c r="A6" s="23"/>
      <c r="B6" s="61"/>
      <c r="C6" s="61"/>
      <c r="D6" s="61"/>
      <c r="E6" s="61"/>
      <c r="F6" s="61"/>
      <c r="G6" s="61"/>
      <c r="H6" s="61"/>
      <c r="I6" s="61"/>
      <c r="J6" s="61"/>
      <c r="K6" s="61"/>
      <c r="L6" s="61"/>
      <c r="M6" s="61"/>
      <c r="N6" s="23"/>
      <c r="O6" s="23"/>
    </row>
    <row r="7" spans="1:15" ht="14.25">
      <c r="A7" s="23"/>
      <c r="B7" s="61"/>
      <c r="C7" s="61"/>
      <c r="D7" s="61"/>
      <c r="E7" s="61"/>
      <c r="F7" s="61"/>
      <c r="G7" s="61"/>
      <c r="H7" s="61"/>
      <c r="I7" s="61"/>
      <c r="J7" s="61"/>
      <c r="K7" s="61"/>
      <c r="L7" s="61"/>
      <c r="M7" s="61"/>
      <c r="N7" s="23"/>
      <c r="O7" s="23"/>
    </row>
    <row r="8" spans="1:15" ht="14.25">
      <c r="A8" s="23"/>
      <c r="B8" s="23"/>
      <c r="C8" s="23"/>
      <c r="D8" s="23"/>
      <c r="E8" s="23"/>
      <c r="F8" s="23"/>
      <c r="G8" s="23"/>
      <c r="H8" s="23"/>
      <c r="I8" s="23"/>
      <c r="J8" s="23"/>
      <c r="K8" s="23"/>
      <c r="L8" s="23"/>
      <c r="M8" s="23"/>
      <c r="N8" s="23"/>
      <c r="O8" s="23"/>
    </row>
    <row r="9" spans="1:15" ht="14.25">
      <c r="A9" s="23"/>
      <c r="B9" s="61"/>
      <c r="C9" s="23"/>
      <c r="D9" s="23"/>
      <c r="E9" s="23"/>
      <c r="F9" s="23"/>
      <c r="G9" s="23"/>
      <c r="H9" s="23"/>
      <c r="I9" s="23"/>
      <c r="J9" s="23"/>
      <c r="K9" s="23"/>
      <c r="L9" s="23"/>
      <c r="M9" s="23"/>
      <c r="N9" s="23"/>
      <c r="O9" s="23"/>
    </row>
    <row r="10" spans="1:15" ht="14.25">
      <c r="A10" s="23"/>
      <c r="B10" s="61"/>
      <c r="C10" s="23"/>
      <c r="D10" s="23"/>
      <c r="E10" s="23"/>
      <c r="F10" s="23"/>
      <c r="G10" s="23"/>
      <c r="H10" s="23"/>
      <c r="I10" s="23"/>
      <c r="J10" s="23"/>
      <c r="K10" s="23"/>
      <c r="L10" s="23"/>
      <c r="M10" s="23"/>
      <c r="N10" s="23"/>
      <c r="O10" s="23"/>
    </row>
    <row r="11" spans="1:15" ht="14.25">
      <c r="A11" s="23"/>
      <c r="B11" s="23"/>
      <c r="C11" s="23"/>
      <c r="D11" s="23"/>
      <c r="E11" s="23"/>
      <c r="F11" s="23"/>
      <c r="G11" s="23"/>
      <c r="H11" s="23"/>
      <c r="I11" s="23"/>
      <c r="J11" s="23"/>
      <c r="K11" s="23"/>
      <c r="L11" s="23"/>
      <c r="M11" s="23"/>
      <c r="N11" s="23"/>
      <c r="O11" s="23"/>
    </row>
    <row r="12" spans="1:15" ht="14.25">
      <c r="A12" s="23"/>
      <c r="B12" s="23"/>
      <c r="C12" s="23"/>
      <c r="D12" s="23"/>
      <c r="E12" s="23"/>
      <c r="F12" s="23"/>
      <c r="G12" s="23"/>
      <c r="H12" s="23"/>
      <c r="I12" s="23"/>
      <c r="J12" s="23"/>
      <c r="K12" s="23"/>
      <c r="L12" s="23"/>
      <c r="M12" s="23"/>
      <c r="N12" s="23"/>
      <c r="O12" s="23"/>
    </row>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sheetData>
  <sheetProtection/>
  <printOptions/>
  <pageMargins left="0.7" right="0.7" top="0.75" bottom="0.75" header="0.3" footer="0.3"/>
  <pageSetup fitToHeight="1" fitToWidth="1" horizontalDpi="600" verticalDpi="600" orientation="landscape"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selection activeCell="R28" sqref="R28"/>
    </sheetView>
  </sheetViews>
  <sheetFormatPr defaultColWidth="9.00390625" defaultRowHeight="14.25"/>
  <cols>
    <col min="3" max="3" width="12.625" style="0" customWidth="1"/>
    <col min="4" max="4" width="11.50390625" style="16" customWidth="1"/>
    <col min="5" max="5" width="7.875" style="0" customWidth="1"/>
    <col min="6" max="6" width="8.125" style="0" customWidth="1"/>
    <col min="7" max="7" width="8.00390625" style="0" customWidth="1"/>
    <col min="8" max="9" width="7.625" style="0" customWidth="1"/>
    <col min="10" max="10" width="7.75390625" style="0" customWidth="1"/>
    <col min="11" max="11" width="7.625" style="0" customWidth="1"/>
    <col min="12" max="12" width="7.875" style="0" customWidth="1"/>
    <col min="13" max="13" width="8.375" style="0" customWidth="1"/>
    <col min="14" max="14" width="8.00390625" style="0" customWidth="1"/>
    <col min="15" max="15" width="7.50390625" style="0" customWidth="1"/>
    <col min="16" max="16" width="8.125" style="0" customWidth="1"/>
  </cols>
  <sheetData>
    <row r="1" spans="1:16" ht="17.25" customHeight="1" thickBot="1">
      <c r="A1" s="198" t="s">
        <v>61</v>
      </c>
      <c r="B1" s="199"/>
      <c r="C1" s="109" t="s">
        <v>15</v>
      </c>
      <c r="D1" s="93" t="s">
        <v>25</v>
      </c>
      <c r="E1" s="110" t="s">
        <v>26</v>
      </c>
      <c r="F1" s="110" t="s">
        <v>27</v>
      </c>
      <c r="G1" s="110" t="s">
        <v>28</v>
      </c>
      <c r="H1" s="110" t="s">
        <v>29</v>
      </c>
      <c r="I1" s="110" t="s">
        <v>30</v>
      </c>
      <c r="J1" s="110" t="s">
        <v>31</v>
      </c>
      <c r="K1" s="110" t="s">
        <v>32</v>
      </c>
      <c r="L1" s="110" t="s">
        <v>33</v>
      </c>
      <c r="M1" s="110" t="s">
        <v>34</v>
      </c>
      <c r="N1" s="110" t="s">
        <v>35</v>
      </c>
      <c r="O1" s="110" t="s">
        <v>36</v>
      </c>
      <c r="P1" s="111" t="s">
        <v>37</v>
      </c>
    </row>
    <row r="2" spans="1:16" ht="14.25" customHeight="1">
      <c r="A2" s="200"/>
      <c r="B2" s="201"/>
      <c r="C2" s="194">
        <v>40101</v>
      </c>
      <c r="D2" s="88" t="str">
        <f>Overview!$A$11</f>
        <v>Sand</v>
      </c>
      <c r="E2" s="115" t="s">
        <v>58</v>
      </c>
      <c r="F2" s="115" t="s">
        <v>58</v>
      </c>
      <c r="G2" s="115" t="s">
        <v>58</v>
      </c>
      <c r="H2" s="115" t="s">
        <v>58</v>
      </c>
      <c r="I2" s="115" t="s">
        <v>58</v>
      </c>
      <c r="J2" s="115" t="s">
        <v>58</v>
      </c>
      <c r="K2" s="102">
        <v>724</v>
      </c>
      <c r="L2" s="102">
        <v>2238</v>
      </c>
      <c r="M2" s="102">
        <v>20018</v>
      </c>
      <c r="N2" s="102">
        <v>20018</v>
      </c>
      <c r="O2" s="115" t="s">
        <v>58</v>
      </c>
      <c r="P2" s="116" t="s">
        <v>58</v>
      </c>
    </row>
    <row r="3" spans="1:16" ht="15" thickBot="1">
      <c r="A3" s="200"/>
      <c r="B3" s="201"/>
      <c r="C3" s="195"/>
      <c r="D3" s="89" t="str">
        <f>Overview!$A$12</f>
        <v>Silty Sand</v>
      </c>
      <c r="E3" s="117" t="s">
        <v>58</v>
      </c>
      <c r="F3" s="117" t="s">
        <v>58</v>
      </c>
      <c r="G3" s="117" t="s">
        <v>58</v>
      </c>
      <c r="H3" s="117" t="s">
        <v>58</v>
      </c>
      <c r="I3" s="117" t="s">
        <v>58</v>
      </c>
      <c r="J3" s="117" t="s">
        <v>58</v>
      </c>
      <c r="K3" s="117" t="s">
        <v>58</v>
      </c>
      <c r="L3" s="117" t="s">
        <v>58</v>
      </c>
      <c r="M3" s="117" t="s">
        <v>58</v>
      </c>
      <c r="N3" s="117" t="s">
        <v>58</v>
      </c>
      <c r="O3" s="117" t="s">
        <v>58</v>
      </c>
      <c r="P3" s="118" t="s">
        <v>58</v>
      </c>
    </row>
    <row r="4" spans="1:16" ht="14.25">
      <c r="A4" s="200"/>
      <c r="B4" s="201"/>
      <c r="C4" s="194">
        <v>40132</v>
      </c>
      <c r="D4" s="88" t="str">
        <f>Overview!$A$11</f>
        <v>Sand</v>
      </c>
      <c r="E4" s="115" t="s">
        <v>58</v>
      </c>
      <c r="F4" s="115" t="s">
        <v>58</v>
      </c>
      <c r="G4" s="115" t="s">
        <v>58</v>
      </c>
      <c r="H4" s="115" t="s">
        <v>58</v>
      </c>
      <c r="I4" s="115" t="s">
        <v>58</v>
      </c>
      <c r="J4" s="115" t="s">
        <v>58</v>
      </c>
      <c r="K4" s="115" t="s">
        <v>58</v>
      </c>
      <c r="L4" s="102">
        <v>24769</v>
      </c>
      <c r="M4" s="102">
        <v>217351</v>
      </c>
      <c r="N4" s="119">
        <v>217351</v>
      </c>
      <c r="O4" s="115" t="s">
        <v>58</v>
      </c>
      <c r="P4" s="116" t="s">
        <v>58</v>
      </c>
    </row>
    <row r="5" spans="1:16" ht="15" thickBot="1">
      <c r="A5" s="200"/>
      <c r="B5" s="201"/>
      <c r="C5" s="195"/>
      <c r="D5" s="89" t="str">
        <f>Overview!$A$12</f>
        <v>Silty Sand</v>
      </c>
      <c r="E5" s="117" t="s">
        <v>58</v>
      </c>
      <c r="F5" s="117" t="s">
        <v>58</v>
      </c>
      <c r="G5" s="117" t="s">
        <v>58</v>
      </c>
      <c r="H5" s="117" t="s">
        <v>58</v>
      </c>
      <c r="I5" s="117" t="s">
        <v>58</v>
      </c>
      <c r="J5" s="117" t="s">
        <v>58</v>
      </c>
      <c r="K5" s="117" t="s">
        <v>58</v>
      </c>
      <c r="L5" s="117" t="s">
        <v>58</v>
      </c>
      <c r="M5" s="117" t="s">
        <v>58</v>
      </c>
      <c r="N5" s="117" t="s">
        <v>58</v>
      </c>
      <c r="O5" s="117" t="s">
        <v>58</v>
      </c>
      <c r="P5" s="118" t="s">
        <v>58</v>
      </c>
    </row>
    <row r="6" spans="1:16" ht="14.25">
      <c r="A6" s="200"/>
      <c r="B6" s="201"/>
      <c r="C6" s="194">
        <v>40162</v>
      </c>
      <c r="D6" s="88" t="str">
        <f>Overview!$A$11</f>
        <v>Sand</v>
      </c>
      <c r="E6" s="115" t="s">
        <v>58</v>
      </c>
      <c r="F6" s="115" t="s">
        <v>58</v>
      </c>
      <c r="G6" s="115" t="s">
        <v>58</v>
      </c>
      <c r="H6" s="115" t="s">
        <v>58</v>
      </c>
      <c r="I6" s="115" t="s">
        <v>58</v>
      </c>
      <c r="J6" s="115" t="s">
        <v>58</v>
      </c>
      <c r="K6" s="115" t="s">
        <v>58</v>
      </c>
      <c r="L6" s="102">
        <v>6769</v>
      </c>
      <c r="M6" s="102">
        <v>40828</v>
      </c>
      <c r="N6" s="119">
        <v>40828</v>
      </c>
      <c r="O6" s="115" t="s">
        <v>58</v>
      </c>
      <c r="P6" s="116" t="s">
        <v>58</v>
      </c>
    </row>
    <row r="7" spans="1:16" ht="15" thickBot="1">
      <c r="A7" s="200"/>
      <c r="B7" s="201"/>
      <c r="C7" s="195"/>
      <c r="D7" s="89" t="str">
        <f>Overview!$A$12</f>
        <v>Silty Sand</v>
      </c>
      <c r="E7" s="117" t="s">
        <v>58</v>
      </c>
      <c r="F7" s="117" t="s">
        <v>58</v>
      </c>
      <c r="G7" s="117" t="s">
        <v>58</v>
      </c>
      <c r="H7" s="117" t="s">
        <v>58</v>
      </c>
      <c r="I7" s="117" t="s">
        <v>58</v>
      </c>
      <c r="J7" s="117" t="s">
        <v>58</v>
      </c>
      <c r="K7" s="117" t="s">
        <v>58</v>
      </c>
      <c r="L7" s="117" t="s">
        <v>58</v>
      </c>
      <c r="M7" s="117" t="s">
        <v>58</v>
      </c>
      <c r="N7" s="117" t="s">
        <v>58</v>
      </c>
      <c r="O7" s="117" t="s">
        <v>58</v>
      </c>
      <c r="P7" s="118" t="s">
        <v>58</v>
      </c>
    </row>
    <row r="8" spans="1:16" ht="14.25">
      <c r="A8" s="200"/>
      <c r="B8" s="201"/>
      <c r="C8" s="194">
        <v>40193</v>
      </c>
      <c r="D8" s="88" t="str">
        <f>Overview!$A$11</f>
        <v>Sand</v>
      </c>
      <c r="E8" s="115" t="s">
        <v>58</v>
      </c>
      <c r="F8" s="115" t="s">
        <v>58</v>
      </c>
      <c r="G8" s="119">
        <v>1046</v>
      </c>
      <c r="H8" s="115" t="s">
        <v>58</v>
      </c>
      <c r="I8" s="115" t="s">
        <v>58</v>
      </c>
      <c r="J8" s="115" t="s">
        <v>58</v>
      </c>
      <c r="K8" s="115" t="s">
        <v>58</v>
      </c>
      <c r="L8" s="102">
        <v>47432</v>
      </c>
      <c r="M8" s="102">
        <v>11029</v>
      </c>
      <c r="N8" s="102">
        <v>11029</v>
      </c>
      <c r="O8" s="115" t="s">
        <v>58</v>
      </c>
      <c r="P8" s="116" t="s">
        <v>58</v>
      </c>
    </row>
    <row r="9" spans="1:16" ht="15" thickBot="1">
      <c r="A9" s="200"/>
      <c r="B9" s="201"/>
      <c r="C9" s="195"/>
      <c r="D9" s="89" t="str">
        <f>Overview!$A$12</f>
        <v>Silty Sand</v>
      </c>
      <c r="E9" s="117" t="s">
        <v>58</v>
      </c>
      <c r="F9" s="117" t="s">
        <v>58</v>
      </c>
      <c r="G9" s="117" t="s">
        <v>58</v>
      </c>
      <c r="H9" s="117" t="s">
        <v>58</v>
      </c>
      <c r="I9" s="117" t="s">
        <v>58</v>
      </c>
      <c r="J9" s="117" t="s">
        <v>58</v>
      </c>
      <c r="K9" s="117" t="s">
        <v>58</v>
      </c>
      <c r="L9" s="117" t="s">
        <v>58</v>
      </c>
      <c r="M9" s="117" t="s">
        <v>58</v>
      </c>
      <c r="N9" s="117" t="s">
        <v>58</v>
      </c>
      <c r="O9" s="117" t="s">
        <v>58</v>
      </c>
      <c r="P9" s="118" t="s">
        <v>58</v>
      </c>
    </row>
    <row r="10" spans="1:16" ht="14.25">
      <c r="A10" s="200"/>
      <c r="B10" s="201"/>
      <c r="C10" s="194">
        <v>40224</v>
      </c>
      <c r="D10" s="88" t="str">
        <f>Overview!$A$11</f>
        <v>Sand</v>
      </c>
      <c r="E10" s="115" t="s">
        <v>58</v>
      </c>
      <c r="F10" s="115" t="s">
        <v>58</v>
      </c>
      <c r="G10" s="119">
        <v>1509</v>
      </c>
      <c r="H10" s="115" t="s">
        <v>58</v>
      </c>
      <c r="I10" s="115" t="s">
        <v>58</v>
      </c>
      <c r="J10" s="115" t="s">
        <v>58</v>
      </c>
      <c r="K10" s="115" t="s">
        <v>58</v>
      </c>
      <c r="L10" s="102">
        <v>28324</v>
      </c>
      <c r="M10" s="102">
        <v>889</v>
      </c>
      <c r="N10" s="119">
        <v>889</v>
      </c>
      <c r="O10" s="115" t="s">
        <v>58</v>
      </c>
      <c r="P10" s="116" t="s">
        <v>58</v>
      </c>
    </row>
    <row r="11" spans="1:16" ht="15" thickBot="1">
      <c r="A11" s="200"/>
      <c r="B11" s="201"/>
      <c r="C11" s="195"/>
      <c r="D11" s="89" t="str">
        <f>Overview!$A$12</f>
        <v>Silty Sand</v>
      </c>
      <c r="E11" s="117" t="s">
        <v>58</v>
      </c>
      <c r="F11" s="117" t="s">
        <v>58</v>
      </c>
      <c r="G11" s="117" t="s">
        <v>58</v>
      </c>
      <c r="H11" s="117" t="s">
        <v>58</v>
      </c>
      <c r="I11" s="117" t="s">
        <v>58</v>
      </c>
      <c r="J11" s="117" t="s">
        <v>58</v>
      </c>
      <c r="K11" s="117" t="s">
        <v>58</v>
      </c>
      <c r="L11" s="117" t="s">
        <v>58</v>
      </c>
      <c r="M11" s="117" t="s">
        <v>58</v>
      </c>
      <c r="N11" s="117" t="s">
        <v>58</v>
      </c>
      <c r="O11" s="117" t="s">
        <v>58</v>
      </c>
      <c r="P11" s="118" t="s">
        <v>58</v>
      </c>
    </row>
    <row r="12" spans="1:16" ht="14.25">
      <c r="A12" s="200"/>
      <c r="B12" s="201"/>
      <c r="C12" s="194">
        <v>40252</v>
      </c>
      <c r="D12" s="88" t="str">
        <f>Overview!$A$11</f>
        <v>Sand</v>
      </c>
      <c r="E12" s="115" t="s">
        <v>58</v>
      </c>
      <c r="F12" s="115" t="s">
        <v>58</v>
      </c>
      <c r="G12" s="119">
        <v>2696</v>
      </c>
      <c r="H12" s="115" t="s">
        <v>58</v>
      </c>
      <c r="I12" s="115" t="s">
        <v>58</v>
      </c>
      <c r="J12" s="115" t="s">
        <v>58</v>
      </c>
      <c r="K12" s="115" t="s">
        <v>58</v>
      </c>
      <c r="L12" s="102">
        <v>24707</v>
      </c>
      <c r="M12" s="102">
        <v>647</v>
      </c>
      <c r="N12" s="119">
        <v>647</v>
      </c>
      <c r="O12" s="115" t="s">
        <v>58</v>
      </c>
      <c r="P12" s="116" t="s">
        <v>58</v>
      </c>
    </row>
    <row r="13" spans="1:16" ht="15" thickBot="1">
      <c r="A13" s="200"/>
      <c r="B13" s="201"/>
      <c r="C13" s="195"/>
      <c r="D13" s="89" t="str">
        <f>Overview!$A$12</f>
        <v>Silty Sand</v>
      </c>
      <c r="E13" s="117" t="s">
        <v>58</v>
      </c>
      <c r="F13" s="117" t="s">
        <v>58</v>
      </c>
      <c r="G13" s="117" t="s">
        <v>58</v>
      </c>
      <c r="H13" s="117" t="s">
        <v>58</v>
      </c>
      <c r="I13" s="117" t="s">
        <v>58</v>
      </c>
      <c r="J13" s="117" t="s">
        <v>58</v>
      </c>
      <c r="K13" s="117" t="s">
        <v>58</v>
      </c>
      <c r="L13" s="117" t="s">
        <v>58</v>
      </c>
      <c r="M13" s="117" t="s">
        <v>58</v>
      </c>
      <c r="N13" s="117" t="s">
        <v>58</v>
      </c>
      <c r="O13" s="117" t="s">
        <v>58</v>
      </c>
      <c r="P13" s="118" t="s">
        <v>58</v>
      </c>
    </row>
    <row r="14" spans="1:16" ht="14.25">
      <c r="A14" s="200"/>
      <c r="B14" s="201"/>
      <c r="C14" s="194">
        <v>40283</v>
      </c>
      <c r="D14" s="88" t="str">
        <f>Overview!$A$11</f>
        <v>Sand</v>
      </c>
      <c r="E14" s="115" t="s">
        <v>58</v>
      </c>
      <c r="F14" s="115" t="s">
        <v>58</v>
      </c>
      <c r="G14" s="119">
        <v>2688</v>
      </c>
      <c r="H14" s="115" t="s">
        <v>58</v>
      </c>
      <c r="I14" s="115" t="s">
        <v>58</v>
      </c>
      <c r="J14" s="115" t="s">
        <v>58</v>
      </c>
      <c r="K14" s="115" t="s">
        <v>58</v>
      </c>
      <c r="L14" s="102">
        <v>8752</v>
      </c>
      <c r="M14" s="102">
        <v>8126</v>
      </c>
      <c r="N14" s="119">
        <v>8126</v>
      </c>
      <c r="O14" s="115" t="s">
        <v>58</v>
      </c>
      <c r="P14" s="116" t="s">
        <v>58</v>
      </c>
    </row>
    <row r="15" spans="1:16" ht="15" thickBot="1">
      <c r="A15" s="200"/>
      <c r="B15" s="201"/>
      <c r="C15" s="195"/>
      <c r="D15" s="89" t="str">
        <f>Overview!$A$12</f>
        <v>Silty Sand</v>
      </c>
      <c r="E15" s="117" t="s">
        <v>58</v>
      </c>
      <c r="F15" s="117" t="s">
        <v>58</v>
      </c>
      <c r="G15" s="117" t="s">
        <v>58</v>
      </c>
      <c r="H15" s="117" t="s">
        <v>58</v>
      </c>
      <c r="I15" s="117" t="s">
        <v>58</v>
      </c>
      <c r="J15" s="117" t="s">
        <v>58</v>
      </c>
      <c r="K15" s="117" t="s">
        <v>58</v>
      </c>
      <c r="L15" s="117" t="s">
        <v>58</v>
      </c>
      <c r="M15" s="117" t="s">
        <v>58</v>
      </c>
      <c r="N15" s="117" t="s">
        <v>58</v>
      </c>
      <c r="O15" s="117" t="s">
        <v>58</v>
      </c>
      <c r="P15" s="118" t="s">
        <v>58</v>
      </c>
    </row>
    <row r="16" spans="1:16" ht="14.25">
      <c r="A16" s="200"/>
      <c r="B16" s="201"/>
      <c r="C16" s="194">
        <v>40313</v>
      </c>
      <c r="D16" s="88" t="str">
        <f>Overview!$A$11</f>
        <v>Sand</v>
      </c>
      <c r="E16" s="115" t="s">
        <v>58</v>
      </c>
      <c r="F16" s="115" t="s">
        <v>58</v>
      </c>
      <c r="G16" s="119">
        <v>1707</v>
      </c>
      <c r="H16" s="115" t="s">
        <v>58</v>
      </c>
      <c r="I16" s="115" t="s">
        <v>58</v>
      </c>
      <c r="J16" s="115" t="s">
        <v>58</v>
      </c>
      <c r="K16" s="115" t="s">
        <v>58</v>
      </c>
      <c r="L16" s="102">
        <v>13234</v>
      </c>
      <c r="M16" s="102">
        <v>1492</v>
      </c>
      <c r="N16" s="119">
        <v>1492</v>
      </c>
      <c r="O16" s="115" t="s">
        <v>58</v>
      </c>
      <c r="P16" s="116" t="s">
        <v>58</v>
      </c>
    </row>
    <row r="17" spans="1:16" ht="15" thickBot="1">
      <c r="A17" s="200"/>
      <c r="B17" s="201"/>
      <c r="C17" s="195"/>
      <c r="D17" s="89" t="str">
        <f>Overview!$A$12</f>
        <v>Silty Sand</v>
      </c>
      <c r="E17" s="117" t="s">
        <v>58</v>
      </c>
      <c r="F17" s="117" t="s">
        <v>58</v>
      </c>
      <c r="G17" s="117" t="s">
        <v>58</v>
      </c>
      <c r="H17" s="117" t="s">
        <v>58</v>
      </c>
      <c r="I17" s="117" t="s">
        <v>58</v>
      </c>
      <c r="J17" s="117" t="s">
        <v>58</v>
      </c>
      <c r="K17" s="117" t="s">
        <v>58</v>
      </c>
      <c r="L17" s="117" t="s">
        <v>58</v>
      </c>
      <c r="M17" s="117" t="s">
        <v>58</v>
      </c>
      <c r="N17" s="117" t="s">
        <v>58</v>
      </c>
      <c r="O17" s="117" t="s">
        <v>58</v>
      </c>
      <c r="P17" s="118" t="s">
        <v>58</v>
      </c>
    </row>
    <row r="18" spans="1:16" ht="14.25">
      <c r="A18" s="200"/>
      <c r="B18" s="201"/>
      <c r="C18" s="194">
        <v>40344</v>
      </c>
      <c r="D18" s="88" t="str">
        <f>Overview!$A$11</f>
        <v>Sand</v>
      </c>
      <c r="E18" s="115" t="s">
        <v>58</v>
      </c>
      <c r="F18" s="115" t="s">
        <v>58</v>
      </c>
      <c r="G18" s="119">
        <v>2083</v>
      </c>
      <c r="H18" s="115" t="s">
        <v>58</v>
      </c>
      <c r="I18" s="115" t="s">
        <v>58</v>
      </c>
      <c r="J18" s="115" t="s">
        <v>58</v>
      </c>
      <c r="K18" s="115" t="s">
        <v>58</v>
      </c>
      <c r="L18" s="102">
        <v>6902</v>
      </c>
      <c r="M18" s="102">
        <v>7701</v>
      </c>
      <c r="N18" s="119">
        <v>7701</v>
      </c>
      <c r="O18" s="115" t="s">
        <v>58</v>
      </c>
      <c r="P18" s="116" t="s">
        <v>58</v>
      </c>
    </row>
    <row r="19" spans="1:16" ht="15" thickBot="1">
      <c r="A19" s="200"/>
      <c r="B19" s="201"/>
      <c r="C19" s="195"/>
      <c r="D19" s="89" t="str">
        <f>Overview!$A$12</f>
        <v>Silty Sand</v>
      </c>
      <c r="E19" s="117" t="s">
        <v>58</v>
      </c>
      <c r="F19" s="117" t="s">
        <v>58</v>
      </c>
      <c r="G19" s="117" t="s">
        <v>58</v>
      </c>
      <c r="H19" s="117" t="s">
        <v>58</v>
      </c>
      <c r="I19" s="117" t="s">
        <v>58</v>
      </c>
      <c r="J19" s="117" t="s">
        <v>58</v>
      </c>
      <c r="K19" s="117" t="s">
        <v>58</v>
      </c>
      <c r="L19" s="117" t="s">
        <v>58</v>
      </c>
      <c r="M19" s="117" t="s">
        <v>58</v>
      </c>
      <c r="N19" s="117" t="s">
        <v>58</v>
      </c>
      <c r="O19" s="117" t="s">
        <v>58</v>
      </c>
      <c r="P19" s="118" t="s">
        <v>58</v>
      </c>
    </row>
    <row r="20" spans="1:16" ht="14.25">
      <c r="A20" s="200"/>
      <c r="B20" s="201"/>
      <c r="C20" s="194">
        <v>40374</v>
      </c>
      <c r="D20" s="88" t="str">
        <f>Overview!$A$11</f>
        <v>Sand</v>
      </c>
      <c r="E20" s="115" t="s">
        <v>58</v>
      </c>
      <c r="F20" s="115" t="s">
        <v>58</v>
      </c>
      <c r="G20" s="119">
        <v>2944</v>
      </c>
      <c r="H20" s="115" t="s">
        <v>58</v>
      </c>
      <c r="I20" s="115" t="s">
        <v>58</v>
      </c>
      <c r="J20" s="115" t="s">
        <v>58</v>
      </c>
      <c r="K20" s="115" t="s">
        <v>58</v>
      </c>
      <c r="L20" s="102">
        <v>5495</v>
      </c>
      <c r="M20" s="102">
        <v>1886</v>
      </c>
      <c r="N20" s="119">
        <v>1886</v>
      </c>
      <c r="O20" s="115" t="s">
        <v>58</v>
      </c>
      <c r="P20" s="116" t="s">
        <v>58</v>
      </c>
    </row>
    <row r="21" spans="1:16" ht="15" thickBot="1">
      <c r="A21" s="200"/>
      <c r="B21" s="201"/>
      <c r="C21" s="195"/>
      <c r="D21" s="89" t="str">
        <f>Overview!$A$12</f>
        <v>Silty Sand</v>
      </c>
      <c r="E21" s="117" t="s">
        <v>58</v>
      </c>
      <c r="F21" s="117" t="s">
        <v>58</v>
      </c>
      <c r="G21" s="117" t="s">
        <v>58</v>
      </c>
      <c r="H21" s="117" t="s">
        <v>58</v>
      </c>
      <c r="I21" s="117" t="s">
        <v>58</v>
      </c>
      <c r="J21" s="117" t="s">
        <v>58</v>
      </c>
      <c r="K21" s="117" t="s">
        <v>58</v>
      </c>
      <c r="L21" s="117" t="s">
        <v>58</v>
      </c>
      <c r="M21" s="117" t="s">
        <v>58</v>
      </c>
      <c r="N21" s="117" t="s">
        <v>58</v>
      </c>
      <c r="O21" s="117" t="s">
        <v>58</v>
      </c>
      <c r="P21" s="118" t="s">
        <v>58</v>
      </c>
    </row>
    <row r="22" spans="1:16" ht="14.25">
      <c r="A22" s="200"/>
      <c r="B22" s="201"/>
      <c r="C22" s="194">
        <v>40405</v>
      </c>
      <c r="D22" s="88" t="str">
        <f>Overview!$A$11</f>
        <v>Sand</v>
      </c>
      <c r="E22" s="115" t="s">
        <v>58</v>
      </c>
      <c r="F22" s="115" t="s">
        <v>58</v>
      </c>
      <c r="G22" s="115" t="s">
        <v>58</v>
      </c>
      <c r="H22" s="115" t="s">
        <v>58</v>
      </c>
      <c r="I22" s="115" t="s">
        <v>58</v>
      </c>
      <c r="J22" s="115" t="s">
        <v>58</v>
      </c>
      <c r="K22" s="115" t="s">
        <v>58</v>
      </c>
      <c r="L22" s="102">
        <v>4722</v>
      </c>
      <c r="M22" s="102">
        <v>1160</v>
      </c>
      <c r="N22" s="119">
        <v>1160</v>
      </c>
      <c r="O22" s="115" t="s">
        <v>58</v>
      </c>
      <c r="P22" s="116" t="s">
        <v>58</v>
      </c>
    </row>
    <row r="23" spans="1:16" ht="15" thickBot="1">
      <c r="A23" s="200"/>
      <c r="B23" s="201"/>
      <c r="C23" s="195"/>
      <c r="D23" s="89" t="str">
        <f>Overview!$A$12</f>
        <v>Silty Sand</v>
      </c>
      <c r="E23" s="117" t="s">
        <v>58</v>
      </c>
      <c r="F23" s="117" t="s">
        <v>58</v>
      </c>
      <c r="G23" s="117" t="s">
        <v>58</v>
      </c>
      <c r="H23" s="117" t="s">
        <v>58</v>
      </c>
      <c r="I23" s="117" t="s">
        <v>58</v>
      </c>
      <c r="J23" s="117" t="s">
        <v>58</v>
      </c>
      <c r="K23" s="117" t="s">
        <v>58</v>
      </c>
      <c r="L23" s="117" t="s">
        <v>58</v>
      </c>
      <c r="M23" s="117" t="s">
        <v>58</v>
      </c>
      <c r="N23" s="117" t="s">
        <v>58</v>
      </c>
      <c r="O23" s="117" t="s">
        <v>58</v>
      </c>
      <c r="P23" s="118" t="s">
        <v>58</v>
      </c>
    </row>
    <row r="24" spans="1:16" ht="14.25">
      <c r="A24" s="200"/>
      <c r="B24" s="201"/>
      <c r="C24" s="194">
        <v>40436</v>
      </c>
      <c r="D24" s="88" t="str">
        <f>Overview!$A$11</f>
        <v>Sand</v>
      </c>
      <c r="E24" s="115" t="s">
        <v>58</v>
      </c>
      <c r="F24" s="115" t="s">
        <v>58</v>
      </c>
      <c r="G24" s="115" t="s">
        <v>58</v>
      </c>
      <c r="H24" s="115" t="s">
        <v>58</v>
      </c>
      <c r="I24" s="115" t="s">
        <v>58</v>
      </c>
      <c r="J24" s="115" t="s">
        <v>58</v>
      </c>
      <c r="K24" s="115" t="s">
        <v>58</v>
      </c>
      <c r="L24" s="115" t="s">
        <v>58</v>
      </c>
      <c r="M24" s="115" t="s">
        <v>58</v>
      </c>
      <c r="N24" s="115" t="s">
        <v>58</v>
      </c>
      <c r="O24" s="115" t="s">
        <v>58</v>
      </c>
      <c r="P24" s="116" t="s">
        <v>58</v>
      </c>
    </row>
    <row r="25" spans="1:16" ht="15" thickBot="1">
      <c r="A25" s="202"/>
      <c r="B25" s="203"/>
      <c r="C25" s="195"/>
      <c r="D25" s="89" t="str">
        <f>Overview!$A$12</f>
        <v>Silty Sand</v>
      </c>
      <c r="E25" s="117" t="s">
        <v>58</v>
      </c>
      <c r="F25" s="117" t="s">
        <v>58</v>
      </c>
      <c r="G25" s="117" t="s">
        <v>58</v>
      </c>
      <c r="H25" s="117" t="s">
        <v>58</v>
      </c>
      <c r="I25" s="117" t="s">
        <v>58</v>
      </c>
      <c r="J25" s="117" t="s">
        <v>58</v>
      </c>
      <c r="K25" s="117" t="s">
        <v>58</v>
      </c>
      <c r="L25" s="117" t="s">
        <v>58</v>
      </c>
      <c r="M25" s="117" t="s">
        <v>58</v>
      </c>
      <c r="N25" s="117" t="s">
        <v>58</v>
      </c>
      <c r="O25" s="117" t="s">
        <v>58</v>
      </c>
      <c r="P25" s="118" t="s">
        <v>58</v>
      </c>
    </row>
    <row r="26" spans="1:16" ht="42" customHeight="1">
      <c r="A26" s="196" t="s">
        <v>69</v>
      </c>
      <c r="B26" s="197"/>
      <c r="C26" s="197"/>
      <c r="D26" s="197"/>
      <c r="E26" s="197"/>
      <c r="F26" s="120">
        <v>0</v>
      </c>
      <c r="G26" s="43" t="s">
        <v>43</v>
      </c>
      <c r="H26" s="48"/>
      <c r="I26" s="48"/>
      <c r="J26" s="48"/>
      <c r="K26" s="48"/>
      <c r="L26" s="48"/>
      <c r="M26" s="48"/>
      <c r="N26" s="16"/>
      <c r="O26" s="16"/>
      <c r="P26" s="16"/>
    </row>
  </sheetData>
  <sheetProtection/>
  <mergeCells count="14">
    <mergeCell ref="C20:C21"/>
    <mergeCell ref="C22:C23"/>
    <mergeCell ref="C24:C25"/>
    <mergeCell ref="A26:E26"/>
    <mergeCell ref="A1:B25"/>
    <mergeCell ref="C2:C3"/>
    <mergeCell ref="C4:C5"/>
    <mergeCell ref="C6:C7"/>
    <mergeCell ref="C8:C9"/>
    <mergeCell ref="C10:C11"/>
    <mergeCell ref="C12:C13"/>
    <mergeCell ref="C14:C15"/>
    <mergeCell ref="C16:C17"/>
    <mergeCell ref="C18:C19"/>
  </mergeCells>
  <printOptions/>
  <pageMargins left="0.7" right="0.7" top="0.75" bottom="0.75" header="0.3" footer="0.3"/>
  <pageSetup fitToHeight="1" fitToWidth="1" horizontalDpi="600" verticalDpi="600" orientation="landscape" scale="82" r:id="rId2"/>
  <headerFooter>
    <oddHeader>&amp;CTransect-Block Tritium Concentrations</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showGridLines="0" zoomScale="85" zoomScaleNormal="85" zoomScalePageLayoutView="0" workbookViewId="0" topLeftCell="A1">
      <selection activeCell="L32" sqref="L32"/>
    </sheetView>
  </sheetViews>
  <sheetFormatPr defaultColWidth="9.00390625" defaultRowHeight="14.25"/>
  <cols>
    <col min="1" max="1" width="19.625" style="0" customWidth="1"/>
    <col min="2" max="2" width="12.375" style="0" customWidth="1"/>
    <col min="3" max="3" width="10.75390625" style="0" customWidth="1"/>
    <col min="4" max="4" width="9.875" style="0" bestFit="1" customWidth="1"/>
    <col min="5" max="5" width="9.875" style="10" bestFit="1" customWidth="1"/>
    <col min="6" max="6" width="9.875" style="0" bestFit="1" customWidth="1"/>
    <col min="7" max="7" width="11.25390625" style="0" bestFit="1" customWidth="1"/>
    <col min="8" max="9" width="9.875" style="0" bestFit="1" customWidth="1"/>
    <col min="10" max="10" width="9.875" style="7" customWidth="1"/>
    <col min="11" max="11" width="9.50390625" style="0" customWidth="1"/>
    <col min="12" max="12" width="9.50390625" style="10" customWidth="1"/>
    <col min="13" max="14" width="9.875" style="0" bestFit="1" customWidth="1"/>
    <col min="15" max="15" width="0" style="0" hidden="1" customWidth="1"/>
  </cols>
  <sheetData>
    <row r="1" spans="1:14" ht="29.25" customHeight="1">
      <c r="A1" s="91"/>
      <c r="B1" s="91"/>
      <c r="C1" s="15" t="str">
        <f>Overview!D16</f>
        <v>W-1s</v>
      </c>
      <c r="D1" s="15" t="str">
        <f>Overview!E16</f>
        <v>W-1d</v>
      </c>
      <c r="E1" s="15" t="str">
        <f>Overview!F16</f>
        <v>W-2</v>
      </c>
      <c r="F1" s="15" t="str">
        <f>Overview!G16</f>
        <v>W-3</v>
      </c>
      <c r="G1" s="15" t="str">
        <f>Overview!H16</f>
        <v>W-4</v>
      </c>
      <c r="H1" s="15" t="str">
        <f>Overview!I16</f>
        <v>W-5</v>
      </c>
      <c r="I1" s="15" t="str">
        <f>Overview!J16</f>
        <v>W-6</v>
      </c>
      <c r="J1" s="15" t="str">
        <f>Overview!K16</f>
        <v>W-7</v>
      </c>
      <c r="K1" s="15" t="str">
        <f>Overview!L16</f>
        <v>W-8d</v>
      </c>
      <c r="L1" s="15" t="str">
        <f>Overview!M16</f>
        <v>W-8s</v>
      </c>
      <c r="M1" s="15" t="str">
        <f>Overview!N16</f>
        <v>W-9</v>
      </c>
      <c r="N1" s="15" t="str">
        <f>Overview!O16</f>
        <v>W-10</v>
      </c>
    </row>
    <row r="2" spans="1:14" s="10" customFormat="1" ht="14.25" thickBot="1">
      <c r="A2" s="92" t="s">
        <v>15</v>
      </c>
      <c r="B2" s="92" t="s">
        <v>25</v>
      </c>
      <c r="C2" s="205" t="s">
        <v>60</v>
      </c>
      <c r="D2" s="206"/>
      <c r="E2" s="206"/>
      <c r="F2" s="206"/>
      <c r="G2" s="206"/>
      <c r="H2" s="206"/>
      <c r="I2" s="206"/>
      <c r="J2" s="206"/>
      <c r="K2" s="206"/>
      <c r="L2" s="206"/>
      <c r="M2" s="206"/>
      <c r="N2" s="206"/>
    </row>
    <row r="3" spans="1:14" ht="14.25" customHeight="1" thickBot="1">
      <c r="A3" s="207">
        <f>MonitoringData!C2</f>
        <v>40101</v>
      </c>
      <c r="B3" s="90" t="str">
        <f>Overview!$C$20</f>
        <v>Sand</v>
      </c>
      <c r="C3" s="76">
        <f>IF(MonitoringData!E2="ND",MonitoringData!$F$26*Overview!D$27*Overview!$A$36,MonitoringData!E2*Overview!D$27*Overview!$A$36)</f>
        <v>0</v>
      </c>
      <c r="D3" s="76">
        <f>IF(MonitoringData!F2="ND",MonitoringData!$F$26*Overview!E$27*Overview!$A$36,MonitoringData!F2*Overview!E$27*Overview!$A$36)</f>
        <v>0</v>
      </c>
      <c r="E3" s="76">
        <f>IF(MonitoringData!G2="ND",MonitoringData!$F$26*Overview!F$27*Overview!$A$36,MonitoringData!G2*Overview!F$27*Overview!$A$36)</f>
        <v>0</v>
      </c>
      <c r="F3" s="76">
        <f>IF(MonitoringData!H2="ND",MonitoringData!$F$26*Overview!G$27*Overview!$A$36,MonitoringData!H2*Overview!G$27*Overview!$A$36)</f>
        <v>0</v>
      </c>
      <c r="G3" s="76">
        <f>IF(MonitoringData!I2="ND",MonitoringData!$F$26*Overview!H$27*Overview!$A$36,MonitoringData!I2*Overview!H$27*Overview!$A$36)</f>
        <v>0</v>
      </c>
      <c r="H3" s="76">
        <f>IF(MonitoringData!J2="ND",MonitoringData!$F$26*Overview!I$27*Overview!$A$36,MonitoringData!J2*Overview!I$27*Overview!$A$36)</f>
        <v>0</v>
      </c>
      <c r="I3" s="76">
        <f>IF(MonitoringData!K2="ND",MonitoringData!$F$26*Overview!J$27*Overview!$A$36,MonitoringData!K2*Overview!J$27*Overview!$A$36)</f>
        <v>2975813.8712064</v>
      </c>
      <c r="J3" s="76">
        <f>IF(MonitoringData!L2="ND",MonitoringData!$F$26*Overview!K$27*Overview!$A$36,MonitoringData!L2*Overview!K$27*Overview!$A$36)</f>
        <v>12264956.618342398</v>
      </c>
      <c r="K3" s="76">
        <f>IF(MonitoringData!M2="ND",MonitoringData!$F$26*Overview!L$27*Overview!$A$36,MonitoringData!M2*Overview!L$27*Overview!$A$36)</f>
        <v>93249292.38073343</v>
      </c>
      <c r="L3" s="76">
        <f>IF(MonitoringData!N2="ND",MonitoringData!$F$26*Overview!M$27*Overview!$A$36,MonitoringData!N2*Overview!M$27*Overview!$A$36)</f>
        <v>800846863.9757106</v>
      </c>
      <c r="M3" s="76">
        <f>IF(MonitoringData!O2="ND",MonitoringData!$F$26*Overview!N$27*Overview!$A$36,MonitoringData!O2*Overview!N$27*Overview!$A$36)</f>
        <v>0</v>
      </c>
      <c r="N3" s="77">
        <f>IF(MonitoringData!P2="ND",MonitoringData!$F$26*Overview!O$27*Overview!$A$36,MonitoringData!P2*Overview!O$27*Overview!$A$36)</f>
        <v>0</v>
      </c>
    </row>
    <row r="4" spans="1:14" s="10" customFormat="1" ht="14.25" customHeight="1" thickBot="1">
      <c r="A4" s="208"/>
      <c r="B4" s="89" t="str">
        <f>Overview!$A$12</f>
        <v>Silty Sand</v>
      </c>
      <c r="C4" s="78">
        <f>IF(MonitoringData!E3="ND",MonitoringData!$F$26*Overview!D$28*Overview!$A$36,MonitoringData!E3*Overview!D$28*Overview!$A$36)</f>
        <v>0</v>
      </c>
      <c r="D4" s="78">
        <f>IF(MonitoringData!F3="ND",MonitoringData!$F$26*Overview!E$28*Overview!$A$36,MonitoringData!F3*Overview!E$28*Overview!$A$36)</f>
        <v>0</v>
      </c>
      <c r="E4" s="78">
        <f>IF(MonitoringData!G3="ND",MonitoringData!$F$26*Overview!F$28*Overview!$A$36,MonitoringData!G3*Overview!F$28*Overview!$A$36)</f>
        <v>0</v>
      </c>
      <c r="F4" s="78">
        <f>IF(MonitoringData!H3="ND",MonitoringData!$F$26*Overview!G$28*Overview!$A$36,MonitoringData!H3*Overview!G$28*Overview!$A$36)</f>
        <v>0</v>
      </c>
      <c r="G4" s="78">
        <f>IF(MonitoringData!I3="ND",MonitoringData!$F$26*Overview!H$28*Overview!$A$36,MonitoringData!I3*Overview!H$28*Overview!$A$36)</f>
        <v>0</v>
      </c>
      <c r="H4" s="78">
        <f>IF(MonitoringData!J3="ND",MonitoringData!$F$26*Overview!I$28*Overview!$A$36,MonitoringData!J3*Overview!I$28*Overview!$A$36)</f>
        <v>0</v>
      </c>
      <c r="I4" s="78">
        <f>IF(MonitoringData!K3="ND",MonitoringData!$F$26*Overview!J$28*Overview!$A$36,MonitoringData!K3*Overview!J$28*Overview!$A$36)</f>
        <v>0</v>
      </c>
      <c r="J4" s="78">
        <f>IF(MonitoringData!L3="ND",MonitoringData!$F$26*Overview!K$28*Overview!$A$36,MonitoringData!L3*Overview!K$28*Overview!$A$36)</f>
        <v>0</v>
      </c>
      <c r="K4" s="78">
        <f>IF(MonitoringData!M3="ND",MonitoringData!$F$26*Overview!L$28*Overview!$A$36,MonitoringData!M3*Overview!L$28*Overview!$A$36)</f>
        <v>0</v>
      </c>
      <c r="L4" s="78">
        <f>IF(MonitoringData!N3="ND",MonitoringData!$F$26*Overview!M$28*Overview!$A$36,MonitoringData!N3*Overview!M$28*Overview!$A$36)</f>
        <v>0</v>
      </c>
      <c r="M4" s="78">
        <f>IF(MonitoringData!O3="ND",MonitoringData!$F$26*Overview!N$28*Overview!$A$36,MonitoringData!O3*Overview!N$28*Overview!$A$36)</f>
        <v>0</v>
      </c>
      <c r="N4" s="79">
        <f>IF(MonitoringData!P3="ND",MonitoringData!$F$26*Overview!O$28*Overview!$A$36,MonitoringData!P3*Overview!O$28*Overview!$A$36)</f>
        <v>0</v>
      </c>
    </row>
    <row r="5" spans="1:14" ht="14.25" customHeight="1" thickBot="1">
      <c r="A5" s="207">
        <f>MonitoringData!C4</f>
        <v>40132</v>
      </c>
      <c r="B5" s="90" t="str">
        <f>Overview!$C$20</f>
        <v>Sand</v>
      </c>
      <c r="C5" s="76">
        <f>IF(MonitoringData!E4="ND",MonitoringData!$F$26*Overview!D$27*Overview!$A$36,MonitoringData!E4*Overview!D$27*Overview!$A$36)</f>
        <v>0</v>
      </c>
      <c r="D5" s="76">
        <f>IF(MonitoringData!F4="ND",MonitoringData!$F$26*Overview!E$27*Overview!$A$36,MonitoringData!F4*Overview!E$27*Overview!$A$36)</f>
        <v>0</v>
      </c>
      <c r="E5" s="76">
        <f>IF(MonitoringData!G4="ND",MonitoringData!$F$26*Overview!F$27*Overview!$A$36,MonitoringData!G4*Overview!F$27*Overview!$A$36)</f>
        <v>0</v>
      </c>
      <c r="F5" s="76">
        <f>IF(MonitoringData!H4="ND",MonitoringData!$F$26*Overview!G$27*Overview!$A$36,MonitoringData!H4*Overview!G$27*Overview!$A$36)</f>
        <v>0</v>
      </c>
      <c r="G5" s="76">
        <f>IF(MonitoringData!I4="ND",MonitoringData!$F$26*Overview!H$27*Overview!$A$36,MonitoringData!I4*Overview!H$27*Overview!$A$36)</f>
        <v>0</v>
      </c>
      <c r="H5" s="76">
        <f>IF(MonitoringData!J4="ND",MonitoringData!$F$26*Overview!I$27*Overview!$A$36,MonitoringData!J4*Overview!I$27*Overview!$A$36)</f>
        <v>0</v>
      </c>
      <c r="I5" s="76">
        <f>IF(MonitoringData!K4="ND",MonitoringData!$F$26*Overview!J$27*Overview!$A$36,MonitoringData!K4*Overview!J$27*Overview!$A$36)</f>
        <v>0</v>
      </c>
      <c r="J5" s="76">
        <f>IF(MonitoringData!L4="ND",MonitoringData!$F$26*Overview!K$27*Overview!$A$36,MonitoringData!L4*Overview!K$27*Overview!$A$36)</f>
        <v>135742051.1526912</v>
      </c>
      <c r="K5" s="76">
        <f>IF(MonitoringData!M4="ND",MonitoringData!$F$26*Overview!L$27*Overview!$A$36,MonitoringData!M4*Overview!L$27*Overview!$A$36)</f>
        <v>1012480115.3084619</v>
      </c>
      <c r="L5" s="76">
        <f>IF(MonitoringData!N4="ND",MonitoringData!$F$26*Overview!M$27*Overview!$A$36,MonitoringData!N4*Overview!M$27*Overview!$A$36)</f>
        <v>8695417460.884438</v>
      </c>
      <c r="M5" s="76">
        <f>IF(MonitoringData!O4="ND",MonitoringData!$F$26*Overview!N$27*Overview!$A$36,MonitoringData!O4*Overview!N$27*Overview!$A$36)</f>
        <v>0</v>
      </c>
      <c r="N5" s="77">
        <f>IF(MonitoringData!P4="ND",MonitoringData!$F$26*Overview!O$27*Overview!$A$36,MonitoringData!P4*Overview!O$27*Overview!$A$36)</f>
        <v>0</v>
      </c>
    </row>
    <row r="6" spans="1:14" s="10" customFormat="1" ht="14.25" customHeight="1" thickBot="1">
      <c r="A6" s="208"/>
      <c r="B6" s="89" t="str">
        <f>Overview!$A$12</f>
        <v>Silty Sand</v>
      </c>
      <c r="C6" s="78">
        <f>IF(MonitoringData!E5="ND",MonitoringData!$F$26*Overview!D$28*Overview!$A$36,MonitoringData!E5*Overview!D$28*Overview!$A$36)</f>
        <v>0</v>
      </c>
      <c r="D6" s="78">
        <f>IF(MonitoringData!F5="ND",MonitoringData!$F$26*Overview!E$28*Overview!$A$36,MonitoringData!F5*Overview!E$28*Overview!$A$36)</f>
        <v>0</v>
      </c>
      <c r="E6" s="78">
        <f>IF(MonitoringData!G5="ND",MonitoringData!$F$26*Overview!F$28*Overview!$A$36,MonitoringData!G5*Overview!F$28*Overview!$A$36)</f>
        <v>0</v>
      </c>
      <c r="F6" s="78">
        <f>IF(MonitoringData!H5="ND",MonitoringData!$F$26*Overview!G$28*Overview!$A$36,MonitoringData!H5*Overview!G$28*Overview!$A$36)</f>
        <v>0</v>
      </c>
      <c r="G6" s="78">
        <f>IF(MonitoringData!I5="ND",MonitoringData!$F$26*Overview!H$28*Overview!$A$36,MonitoringData!I5*Overview!H$28*Overview!$A$36)</f>
        <v>0</v>
      </c>
      <c r="H6" s="78">
        <f>IF(MonitoringData!J5="ND",MonitoringData!$F$26*Overview!I$28*Overview!$A$36,MonitoringData!J5*Overview!I$28*Overview!$A$36)</f>
        <v>0</v>
      </c>
      <c r="I6" s="78">
        <f>IF(MonitoringData!K5="ND",MonitoringData!$F$26*Overview!J$28*Overview!$A$36,MonitoringData!K5*Overview!J$28*Overview!$A$36)</f>
        <v>0</v>
      </c>
      <c r="J6" s="78">
        <f>IF(MonitoringData!L5="ND",MonitoringData!$F$26*Overview!K$28*Overview!$A$36,MonitoringData!L5*Overview!K$28*Overview!$A$36)</f>
        <v>0</v>
      </c>
      <c r="K6" s="78">
        <f>IF(MonitoringData!M5="ND",MonitoringData!$F$26*Overview!L$28*Overview!$A$36,MonitoringData!M5*Overview!L$28*Overview!$A$36)</f>
        <v>0</v>
      </c>
      <c r="L6" s="78">
        <f>IF(MonitoringData!N5="ND",MonitoringData!$F$26*Overview!M$28*Overview!$A$36,MonitoringData!N5*Overview!M$28*Overview!$A$36)</f>
        <v>0</v>
      </c>
      <c r="M6" s="78">
        <f>IF(MonitoringData!O5="ND",MonitoringData!$F$26*Overview!N$28*Overview!$A$36,MonitoringData!O5*Overview!N$28*Overview!$A$36)</f>
        <v>0</v>
      </c>
      <c r="N6" s="79">
        <f>IF(MonitoringData!P5="ND",MonitoringData!$F$26*Overview!O$28*Overview!$A$36,MonitoringData!P5*Overview!O$28*Overview!$A$36)</f>
        <v>0</v>
      </c>
    </row>
    <row r="7" spans="1:14" ht="14.25" customHeight="1" thickBot="1">
      <c r="A7" s="207">
        <f>MonitoringData!C6</f>
        <v>40162</v>
      </c>
      <c r="B7" s="90" t="str">
        <f>Overview!$C$20</f>
        <v>Sand</v>
      </c>
      <c r="C7" s="76">
        <f>IF(MonitoringData!E6="ND",MonitoringData!$F$26*Overview!D$27*Overview!$A$36,MonitoringData!E6*Overview!D$27*Overview!$A$36)</f>
        <v>0</v>
      </c>
      <c r="D7" s="76">
        <f>IF(MonitoringData!F6="ND",MonitoringData!$F$26*Overview!E$27*Overview!$A$36,MonitoringData!F6*Overview!E$27*Overview!$A$36)</f>
        <v>0</v>
      </c>
      <c r="E7" s="76">
        <f>IF(MonitoringData!G6="ND",MonitoringData!$F$26*Overview!F$27*Overview!$A$36,MonitoringData!G6*Overview!F$27*Overview!$A$36)</f>
        <v>0</v>
      </c>
      <c r="F7" s="76">
        <f>IF(MonitoringData!H6="ND",MonitoringData!$F$26*Overview!G$27*Overview!$A$36,MonitoringData!H6*Overview!G$27*Overview!$A$36)</f>
        <v>0</v>
      </c>
      <c r="G7" s="76">
        <f>IF(MonitoringData!I6="ND",MonitoringData!$F$26*Overview!H$27*Overview!$A$36,MonitoringData!I6*Overview!H$27*Overview!$A$36)</f>
        <v>0</v>
      </c>
      <c r="H7" s="76">
        <f>IF(MonitoringData!J6="ND",MonitoringData!$F$26*Overview!I$27*Overview!$A$36,MonitoringData!J6*Overview!I$27*Overview!$A$36)</f>
        <v>0</v>
      </c>
      <c r="I7" s="76">
        <f>IF(MonitoringData!K6="ND",MonitoringData!$F$26*Overview!J$27*Overview!$A$36,MonitoringData!K6*Overview!J$27*Overview!$A$36)</f>
        <v>0</v>
      </c>
      <c r="J7" s="76">
        <f>IF(MonitoringData!L6="ND",MonitoringData!$F$26*Overview!K$27*Overview!$A$36,MonitoringData!L6*Overview!K$27*Overview!$A$36)</f>
        <v>37096287.4662912</v>
      </c>
      <c r="K7" s="76">
        <f>IF(MonitoringData!M6="ND",MonitoringData!$F$26*Overview!L$27*Overview!$A$36,MonitoringData!M6*Overview!L$27*Overview!$A$36)</f>
        <v>190187936.32333824</v>
      </c>
      <c r="L7" s="76">
        <f>IF(MonitoringData!N6="ND",MonitoringData!$F$26*Overview!M$27*Overview!$A$36,MonitoringData!N6*Overview!M$27*Overview!$A$36)</f>
        <v>1633378747.247493</v>
      </c>
      <c r="M7" s="76">
        <f>IF(MonitoringData!O6="ND",MonitoringData!$F$26*Overview!N$27*Overview!$A$36,MonitoringData!O6*Overview!N$27*Overview!$A$36)</f>
        <v>0</v>
      </c>
      <c r="N7" s="77">
        <f>IF(MonitoringData!P6="ND",MonitoringData!$F$26*Overview!O$27*Overview!$A$36,MonitoringData!P6*Overview!O$27*Overview!$A$36)</f>
        <v>0</v>
      </c>
    </row>
    <row r="8" spans="1:14" s="10" customFormat="1" ht="14.25" customHeight="1" thickBot="1">
      <c r="A8" s="208"/>
      <c r="B8" s="89" t="str">
        <f>Overview!$A$12</f>
        <v>Silty Sand</v>
      </c>
      <c r="C8" s="78">
        <f>IF(MonitoringData!E7="ND",MonitoringData!$F$26*Overview!D$28*Overview!$A$36,MonitoringData!E7*Overview!D$28*Overview!$A$36)</f>
        <v>0</v>
      </c>
      <c r="D8" s="78">
        <f>IF(MonitoringData!F7="ND",MonitoringData!$F$26*Overview!E$28*Overview!$A$36,MonitoringData!F7*Overview!E$28*Overview!$A$36)</f>
        <v>0</v>
      </c>
      <c r="E8" s="78">
        <f>IF(MonitoringData!G7="ND",MonitoringData!$F$26*Overview!F$28*Overview!$A$36,MonitoringData!G7*Overview!F$28*Overview!$A$36)</f>
        <v>0</v>
      </c>
      <c r="F8" s="78">
        <f>IF(MonitoringData!H7="ND",MonitoringData!$F$26*Overview!G$28*Overview!$A$36,MonitoringData!H7*Overview!G$28*Overview!$A$36)</f>
        <v>0</v>
      </c>
      <c r="G8" s="78">
        <f>IF(MonitoringData!I7="ND",MonitoringData!$F$26*Overview!H$28*Overview!$A$36,MonitoringData!I7*Overview!H$28*Overview!$A$36)</f>
        <v>0</v>
      </c>
      <c r="H8" s="78">
        <f>IF(MonitoringData!J7="ND",MonitoringData!$F$26*Overview!I$28*Overview!$A$36,MonitoringData!J7*Overview!I$28*Overview!$A$36)</f>
        <v>0</v>
      </c>
      <c r="I8" s="78">
        <f>IF(MonitoringData!K7="ND",MonitoringData!$F$26*Overview!J$28*Overview!$A$36,MonitoringData!K7*Overview!J$28*Overview!$A$36)</f>
        <v>0</v>
      </c>
      <c r="J8" s="78">
        <f>IF(MonitoringData!L7="ND",MonitoringData!$F$26*Overview!K$28*Overview!$A$36,MonitoringData!L7*Overview!K$28*Overview!$A$36)</f>
        <v>0</v>
      </c>
      <c r="K8" s="78">
        <f>IF(MonitoringData!M7="ND",MonitoringData!$F$26*Overview!L$28*Overview!$A$36,MonitoringData!M7*Overview!L$28*Overview!$A$36)</f>
        <v>0</v>
      </c>
      <c r="L8" s="78">
        <f>IF(MonitoringData!N7="ND",MonitoringData!$F$26*Overview!M$28*Overview!$A$36,MonitoringData!N7*Overview!M$28*Overview!$A$36)</f>
        <v>0</v>
      </c>
      <c r="M8" s="78">
        <f>IF(MonitoringData!O7="ND",MonitoringData!$F$26*Overview!N$28*Overview!$A$36,MonitoringData!O7*Overview!N$28*Overview!$A$36)</f>
        <v>0</v>
      </c>
      <c r="N8" s="79">
        <f>IF(MonitoringData!P7="ND",MonitoringData!$F$26*Overview!O$28*Overview!$A$36,MonitoringData!P7*Overview!O$28*Overview!$A$36)</f>
        <v>0</v>
      </c>
    </row>
    <row r="9" spans="1:14" s="8" customFormat="1" ht="14.25" customHeight="1" thickBot="1">
      <c r="A9" s="207">
        <f>MonitoringData!C8</f>
        <v>40193</v>
      </c>
      <c r="B9" s="90" t="str">
        <f>Overview!$C$20</f>
        <v>Sand</v>
      </c>
      <c r="C9" s="76">
        <f>IF(MonitoringData!E8="ND",MonitoringData!$F$26*Overview!D$27*Overview!$A$36,MonitoringData!E8*Overview!D$27*Overview!$A$36)</f>
        <v>0</v>
      </c>
      <c r="D9" s="76">
        <f>IF(MonitoringData!F8="ND",MonitoringData!$F$26*Overview!E$27*Overview!$A$36,MonitoringData!F8*Overview!E$27*Overview!$A$36)</f>
        <v>0</v>
      </c>
      <c r="E9" s="76">
        <f>IF(MonitoringData!G8="ND",MonitoringData!$F$26*Overview!F$27*Overview!$A$36,MonitoringData!G8*Overview!F$27*Overview!$A$36)</f>
        <v>124106783.32588032</v>
      </c>
      <c r="F9" s="76">
        <f>IF(MonitoringData!H8="ND",MonitoringData!$F$26*Overview!G$27*Overview!$A$36,MonitoringData!H8*Overview!G$27*Overview!$A$36)</f>
        <v>0</v>
      </c>
      <c r="G9" s="76">
        <f>IF(MonitoringData!I8="ND",MonitoringData!$F$26*Overview!H$27*Overview!$A$36,MonitoringData!I8*Overview!H$27*Overview!$A$36)</f>
        <v>0</v>
      </c>
      <c r="H9" s="76">
        <f>IF(MonitoringData!J8="ND",MonitoringData!$F$26*Overview!I$27*Overview!$A$36,MonitoringData!J8*Overview!I$27*Overview!$A$36)</f>
        <v>0</v>
      </c>
      <c r="I9" s="76">
        <f>IF(MonitoringData!K8="ND",MonitoringData!$F$26*Overview!J$27*Overview!$A$36,MonitoringData!K8*Overview!J$27*Overview!$A$36)</f>
        <v>0</v>
      </c>
      <c r="J9" s="76">
        <f>IF(MonitoringData!L8="ND",MonitoringData!$F$26*Overview!K$27*Overview!$A$36,MonitoringData!L8*Overview!K$27*Overview!$A$36)</f>
        <v>259942547.95407358</v>
      </c>
      <c r="K9" s="76">
        <f>IF(MonitoringData!M8="ND",MonitoringData!$F$26*Overview!L$27*Overview!$A$36,MonitoringData!M8*Overview!L$27*Overview!$A$36)</f>
        <v>51376083.80792832</v>
      </c>
      <c r="L9" s="76">
        <f>IF(MonitoringData!N8="ND",MonitoringData!$F$26*Overview!M$27*Overview!$A$36,MonitoringData!N8*Overview!M$27*Overview!$A$36)</f>
        <v>441229896.23279613</v>
      </c>
      <c r="M9" s="76">
        <f>IF(MonitoringData!O8="ND",MonitoringData!$F$26*Overview!N$27*Overview!$A$36,MonitoringData!O8*Overview!N$27*Overview!$A$36)</f>
        <v>0</v>
      </c>
      <c r="N9" s="77">
        <f>IF(MonitoringData!P8="ND",MonitoringData!$F$26*Overview!O$27*Overview!$A$36,MonitoringData!P8*Overview!O$27*Overview!$A$36)</f>
        <v>0</v>
      </c>
    </row>
    <row r="10" spans="1:14" s="10" customFormat="1" ht="14.25" customHeight="1" thickBot="1">
      <c r="A10" s="208"/>
      <c r="B10" s="89" t="str">
        <f>Overview!$A$12</f>
        <v>Silty Sand</v>
      </c>
      <c r="C10" s="78">
        <f>IF(MonitoringData!E9="ND",MonitoringData!$F$26*Overview!D$28*Overview!$A$36,MonitoringData!E9*Overview!D$28*Overview!$A$36)</f>
        <v>0</v>
      </c>
      <c r="D10" s="78">
        <f>IF(MonitoringData!F9="ND",MonitoringData!$F$26*Overview!E$28*Overview!$A$36,MonitoringData!F9*Overview!E$28*Overview!$A$36)</f>
        <v>0</v>
      </c>
      <c r="E10" s="78">
        <f>IF(MonitoringData!G9="ND",MonitoringData!$F$26*Overview!F$28*Overview!$A$36,MonitoringData!G9*Overview!F$28*Overview!$A$36)</f>
        <v>0</v>
      </c>
      <c r="F10" s="78">
        <f>IF(MonitoringData!H9="ND",MonitoringData!$F$26*Overview!G$28*Overview!$A$36,MonitoringData!H9*Overview!G$28*Overview!$A$36)</f>
        <v>0</v>
      </c>
      <c r="G10" s="78">
        <f>IF(MonitoringData!I9="ND",MonitoringData!$F$26*Overview!H$28*Overview!$A$36,MonitoringData!I9*Overview!H$28*Overview!$A$36)</f>
        <v>0</v>
      </c>
      <c r="H10" s="78">
        <f>IF(MonitoringData!J9="ND",MonitoringData!$F$26*Overview!I$28*Overview!$A$36,MonitoringData!J9*Overview!I$28*Overview!$A$36)</f>
        <v>0</v>
      </c>
      <c r="I10" s="78">
        <f>IF(MonitoringData!K9="ND",MonitoringData!$F$26*Overview!J$28*Overview!$A$36,MonitoringData!K9*Overview!J$28*Overview!$A$36)</f>
        <v>0</v>
      </c>
      <c r="J10" s="78">
        <f>IF(MonitoringData!L9="ND",MonitoringData!$F$26*Overview!K$28*Overview!$A$36,MonitoringData!L9*Overview!K$28*Overview!$A$36)</f>
        <v>0</v>
      </c>
      <c r="K10" s="78">
        <f>IF(MonitoringData!M9="ND",MonitoringData!$F$26*Overview!L$28*Overview!$A$36,MonitoringData!M9*Overview!L$28*Overview!$A$36)</f>
        <v>0</v>
      </c>
      <c r="L10" s="78">
        <f>IF(MonitoringData!N9="ND",MonitoringData!$F$26*Overview!M$28*Overview!$A$36,MonitoringData!N9*Overview!M$28*Overview!$A$36)</f>
        <v>0</v>
      </c>
      <c r="M10" s="78">
        <f>IF(MonitoringData!O9="ND",MonitoringData!$F$26*Overview!N$28*Overview!$A$36,MonitoringData!O9*Overview!N$28*Overview!$A$36)</f>
        <v>0</v>
      </c>
      <c r="N10" s="79">
        <f>IF(MonitoringData!P9="ND",MonitoringData!$F$26*Overview!O$28*Overview!$A$36,MonitoringData!P9*Overview!O$28*Overview!$A$36)</f>
        <v>0</v>
      </c>
    </row>
    <row r="11" spans="1:14" s="8" customFormat="1" ht="14.25" customHeight="1" thickBot="1">
      <c r="A11" s="207">
        <f>MonitoringData!C10</f>
        <v>40224</v>
      </c>
      <c r="B11" s="90" t="str">
        <f>Overview!$C$20</f>
        <v>Sand</v>
      </c>
      <c r="C11" s="76">
        <f>IF(MonitoringData!E10="ND",MonitoringData!$F$26*Overview!D$27*Overview!$A$36,MonitoringData!E10*Overview!D$27*Overview!$A$36)</f>
        <v>0</v>
      </c>
      <c r="D11" s="76">
        <f>IF(MonitoringData!F10="ND",MonitoringData!$F$26*Overview!E$27*Overview!$A$36,MonitoringData!F10*Overview!E$27*Overview!$A$36)</f>
        <v>0</v>
      </c>
      <c r="E11" s="76">
        <f>IF(MonitoringData!G10="ND",MonitoringData!$F$26*Overview!F$27*Overview!$A$36,MonitoringData!G10*Overview!F$27*Overview!$A$36)</f>
        <v>179041239.0427853</v>
      </c>
      <c r="F11" s="76">
        <f>IF(MonitoringData!H10="ND",MonitoringData!$F$26*Overview!G$27*Overview!$A$36,MonitoringData!H10*Overview!G$27*Overview!$A$36)</f>
        <v>0</v>
      </c>
      <c r="G11" s="76">
        <f>IF(MonitoringData!I10="ND",MonitoringData!$F$26*Overview!H$27*Overview!$A$36,MonitoringData!I10*Overview!H$27*Overview!$A$36)</f>
        <v>0</v>
      </c>
      <c r="H11" s="76">
        <f>IF(MonitoringData!J10="ND",MonitoringData!$F$26*Overview!I$27*Overview!$A$36,MonitoringData!J10*Overview!I$27*Overview!$A$36)</f>
        <v>0</v>
      </c>
      <c r="I11" s="76">
        <f>IF(MonitoringData!K10="ND",MonitoringData!$F$26*Overview!J$27*Overview!$A$36,MonitoringData!K10*Overview!J$27*Overview!$A$36)</f>
        <v>0</v>
      </c>
      <c r="J11" s="76">
        <f>IF(MonitoringData!L10="ND",MonitoringData!$F$26*Overview!K$27*Overview!$A$36,MonitoringData!L10*Overview!K$27*Overview!$A$36)</f>
        <v>155224589.48075518</v>
      </c>
      <c r="K11" s="76">
        <f>IF(MonitoringData!M10="ND",MonitoringData!$F$26*Overview!L$27*Overview!$A$36,MonitoringData!M10*Overview!L$27*Overview!$A$36)</f>
        <v>4141203.96275712</v>
      </c>
      <c r="L11" s="76">
        <f>IF(MonitoringData!N10="ND",MonitoringData!$F$26*Overview!M$27*Overview!$A$36,MonitoringData!N10*Overview!M$27*Overview!$A$36)</f>
        <v>35565634.03309056</v>
      </c>
      <c r="M11" s="76">
        <f>IF(MonitoringData!O10="ND",MonitoringData!$F$26*Overview!N$27*Overview!$A$36,MonitoringData!O10*Overview!N$27*Overview!$A$36)</f>
        <v>0</v>
      </c>
      <c r="N11" s="77">
        <f>IF(MonitoringData!P10="ND",MonitoringData!$F$26*Overview!O$27*Overview!$A$36,MonitoringData!P10*Overview!O$27*Overview!$A$36)</f>
        <v>0</v>
      </c>
    </row>
    <row r="12" spans="1:14" s="10" customFormat="1" ht="14.25" customHeight="1" thickBot="1">
      <c r="A12" s="208"/>
      <c r="B12" s="89" t="str">
        <f>Overview!$A$12</f>
        <v>Silty Sand</v>
      </c>
      <c r="C12" s="78">
        <f>IF(MonitoringData!E11="ND",MonitoringData!$F$26*Overview!D$28*Overview!$A$36,MonitoringData!E11*Overview!D$28*Overview!$A$36)</f>
        <v>0</v>
      </c>
      <c r="D12" s="78">
        <f>IF(MonitoringData!F11="ND",MonitoringData!$F$26*Overview!E$28*Overview!$A$36,MonitoringData!F11*Overview!E$28*Overview!$A$36)</f>
        <v>0</v>
      </c>
      <c r="E12" s="78">
        <f>IF(MonitoringData!G11="ND",MonitoringData!$F$26*Overview!F$28*Overview!$A$36,MonitoringData!G11*Overview!F$28*Overview!$A$36)</f>
        <v>0</v>
      </c>
      <c r="F12" s="78">
        <f>IF(MonitoringData!H11="ND",MonitoringData!$F$26*Overview!G$28*Overview!$A$36,MonitoringData!H11*Overview!G$28*Overview!$A$36)</f>
        <v>0</v>
      </c>
      <c r="G12" s="78">
        <f>IF(MonitoringData!I11="ND",MonitoringData!$F$26*Overview!H$28*Overview!$A$36,MonitoringData!I11*Overview!H$28*Overview!$A$36)</f>
        <v>0</v>
      </c>
      <c r="H12" s="78">
        <f>IF(MonitoringData!J11="ND",MonitoringData!$F$26*Overview!I$28*Overview!$A$36,MonitoringData!J11*Overview!I$28*Overview!$A$36)</f>
        <v>0</v>
      </c>
      <c r="I12" s="78">
        <f>IF(MonitoringData!K11="ND",MonitoringData!$F$26*Overview!J$28*Overview!$A$36,MonitoringData!K11*Overview!J$28*Overview!$A$36)</f>
        <v>0</v>
      </c>
      <c r="J12" s="78">
        <f>IF(MonitoringData!L11="ND",MonitoringData!$F$26*Overview!K$28*Overview!$A$36,MonitoringData!L11*Overview!K$28*Overview!$A$36)</f>
        <v>0</v>
      </c>
      <c r="K12" s="78">
        <f>IF(MonitoringData!M11="ND",MonitoringData!$F$26*Overview!L$28*Overview!$A$36,MonitoringData!M11*Overview!L$28*Overview!$A$36)</f>
        <v>0</v>
      </c>
      <c r="L12" s="78">
        <f>IF(MonitoringData!N11="ND",MonitoringData!$F$26*Overview!M$28*Overview!$A$36,MonitoringData!N11*Overview!M$28*Overview!$A$36)</f>
        <v>0</v>
      </c>
      <c r="M12" s="78">
        <f>IF(MonitoringData!O11="ND",MonitoringData!$F$26*Overview!N$28*Overview!$A$36,MonitoringData!O11*Overview!N$28*Overview!$A$36)</f>
        <v>0</v>
      </c>
      <c r="N12" s="79">
        <f>IF(MonitoringData!P11="ND",MonitoringData!$F$26*Overview!O$28*Overview!$A$36,MonitoringData!P11*Overview!O$28*Overview!$A$36)</f>
        <v>0</v>
      </c>
    </row>
    <row r="13" spans="1:14" s="8" customFormat="1" ht="14.25" customHeight="1" thickBot="1">
      <c r="A13" s="207">
        <f>MonitoringData!C12</f>
        <v>40252</v>
      </c>
      <c r="B13" s="90" t="str">
        <f>Overview!$C$20</f>
        <v>Sand</v>
      </c>
      <c r="C13" s="76">
        <f>IF(MonitoringData!E12="ND",MonitoringData!$F$26*Overview!D$27*Overview!$A$36,MonitoringData!E12*Overview!D$27*Overview!$A$36)</f>
        <v>0</v>
      </c>
      <c r="D13" s="76">
        <f>IF(MonitoringData!F12="ND",MonitoringData!$F$26*Overview!E$27*Overview!$A$36,MonitoringData!F12*Overview!E$27*Overview!$A$36)</f>
        <v>0</v>
      </c>
      <c r="E13" s="76">
        <f>IF(MonitoringData!G12="ND",MonitoringData!$F$26*Overview!F$27*Overview!$A$36,MonitoringData!G12*Overview!F$27*Overview!$A$36)</f>
        <v>319877521.8418483</v>
      </c>
      <c r="F13" s="76">
        <f>IF(MonitoringData!H12="ND",MonitoringData!$F$26*Overview!G$27*Overview!$A$36,MonitoringData!H12*Overview!G$27*Overview!$A$36)</f>
        <v>0</v>
      </c>
      <c r="G13" s="76">
        <f>IF(MonitoringData!I12="ND",MonitoringData!$F$26*Overview!H$27*Overview!$A$36,MonitoringData!I12*Overview!H$27*Overview!$A$36)</f>
        <v>0</v>
      </c>
      <c r="H13" s="76">
        <f>IF(MonitoringData!J12="ND",MonitoringData!$F$26*Overview!I$27*Overview!$A$36,MonitoringData!J12*Overview!I$27*Overview!$A$36)</f>
        <v>0</v>
      </c>
      <c r="I13" s="76">
        <f>IF(MonitoringData!K12="ND",MonitoringData!$F$26*Overview!J$27*Overview!$A$36,MonitoringData!K12*Overview!J$27*Overview!$A$36)</f>
        <v>0</v>
      </c>
      <c r="J13" s="76">
        <f>IF(MonitoringData!L12="ND",MonitoringData!$F$26*Overview!K$27*Overview!$A$36,MonitoringData!L12*Overview!K$27*Overview!$A$36)</f>
        <v>135402271.2999936</v>
      </c>
      <c r="K13" s="76">
        <f>IF(MonitoringData!M12="ND",MonitoringData!$F$26*Overview!L$27*Overview!$A$36,MonitoringData!M12*Overview!L$27*Overview!$A$36)</f>
        <v>3013902.0966297598</v>
      </c>
      <c r="L13" s="76">
        <f>IF(MonitoringData!N12="ND",MonitoringData!$F$26*Overview!M$27*Overview!$A$36,MonitoringData!N12*Overview!M$27*Overview!$A$36)</f>
        <v>25884100.35929088</v>
      </c>
      <c r="M13" s="76">
        <f>IF(MonitoringData!O12="ND",MonitoringData!$F$26*Overview!N$27*Overview!$A$36,MonitoringData!O12*Overview!N$27*Overview!$A$36)</f>
        <v>0</v>
      </c>
      <c r="N13" s="77">
        <f>IF(MonitoringData!P12="ND",MonitoringData!$F$26*Overview!O$27*Overview!$A$36,MonitoringData!P12*Overview!O$27*Overview!$A$36)</f>
        <v>0</v>
      </c>
    </row>
    <row r="14" spans="1:14" s="10" customFormat="1" ht="14.25" customHeight="1" thickBot="1">
      <c r="A14" s="208"/>
      <c r="B14" s="89" t="str">
        <f>Overview!$A$12</f>
        <v>Silty Sand</v>
      </c>
      <c r="C14" s="78">
        <f>IF(MonitoringData!E13="ND",MonitoringData!$F$26*Overview!D$28*Overview!$A$36,MonitoringData!E13*Overview!D$28*Overview!$A$36)</f>
        <v>0</v>
      </c>
      <c r="D14" s="78">
        <f>IF(MonitoringData!F13="ND",MonitoringData!$F$26*Overview!E$28*Overview!$A$36,MonitoringData!F13*Overview!E$28*Overview!$A$36)</f>
        <v>0</v>
      </c>
      <c r="E14" s="78">
        <f>IF(MonitoringData!G13="ND",MonitoringData!$F$26*Overview!F$28*Overview!$A$36,MonitoringData!G13*Overview!F$28*Overview!$A$36)</f>
        <v>0</v>
      </c>
      <c r="F14" s="78">
        <f>IF(MonitoringData!H13="ND",MonitoringData!$F$26*Overview!G$28*Overview!$A$36,MonitoringData!H13*Overview!G$28*Overview!$A$36)</f>
        <v>0</v>
      </c>
      <c r="G14" s="78">
        <f>IF(MonitoringData!I13="ND",MonitoringData!$F$26*Overview!H$28*Overview!$A$36,MonitoringData!I13*Overview!H$28*Overview!$A$36)</f>
        <v>0</v>
      </c>
      <c r="H14" s="78">
        <f>IF(MonitoringData!J13="ND",MonitoringData!$F$26*Overview!I$28*Overview!$A$36,MonitoringData!J13*Overview!I$28*Overview!$A$36)</f>
        <v>0</v>
      </c>
      <c r="I14" s="78">
        <f>IF(MonitoringData!K13="ND",MonitoringData!$F$26*Overview!J$28*Overview!$A$36,MonitoringData!K13*Overview!J$28*Overview!$A$36)</f>
        <v>0</v>
      </c>
      <c r="J14" s="78">
        <f>IF(MonitoringData!L13="ND",MonitoringData!$F$26*Overview!K$28*Overview!$A$36,MonitoringData!L13*Overview!K$28*Overview!$A$36)</f>
        <v>0</v>
      </c>
      <c r="K14" s="78">
        <f>IF(MonitoringData!M13="ND",MonitoringData!$F$26*Overview!L$28*Overview!$A$36,MonitoringData!M13*Overview!L$28*Overview!$A$36)</f>
        <v>0</v>
      </c>
      <c r="L14" s="78">
        <f>IF(MonitoringData!N13="ND",MonitoringData!$F$26*Overview!M$28*Overview!$A$36,MonitoringData!N13*Overview!M$28*Overview!$A$36)</f>
        <v>0</v>
      </c>
      <c r="M14" s="78">
        <f>IF(MonitoringData!O13="ND",MonitoringData!$F$26*Overview!N$28*Overview!$A$36,MonitoringData!O13*Overview!N$28*Overview!$A$36)</f>
        <v>0</v>
      </c>
      <c r="N14" s="79">
        <f>IF(MonitoringData!P13="ND",MonitoringData!$F$26*Overview!O$28*Overview!$A$36,MonitoringData!P13*Overview!O$28*Overview!$A$36)</f>
        <v>0</v>
      </c>
    </row>
    <row r="15" spans="1:14" s="8" customFormat="1" ht="14.25" customHeight="1" thickBot="1">
      <c r="A15" s="207">
        <f>MonitoringData!C14</f>
        <v>40283</v>
      </c>
      <c r="B15" s="90" t="str">
        <f>Overview!$C$20</f>
        <v>Sand</v>
      </c>
      <c r="C15" s="76">
        <f>IF(MonitoringData!E14="ND",MonitoringData!$F$26*Overview!D$27*Overview!$A$36,MonitoringData!E14*Overview!D$27*Overview!$A$36)</f>
        <v>0</v>
      </c>
      <c r="D15" s="76">
        <f>IF(MonitoringData!F14="ND",MonitoringData!$F$26*Overview!E$27*Overview!$A$36,MonitoringData!F14*Overview!E$27*Overview!$A$36)</f>
        <v>0</v>
      </c>
      <c r="E15" s="76">
        <f>IF(MonitoringData!G14="ND",MonitoringData!$F$26*Overview!F$27*Overview!$A$36,MonitoringData!G14*Overview!F$27*Overview!$A$36)</f>
        <v>318928330.38237697</v>
      </c>
      <c r="F15" s="76">
        <f>IF(MonitoringData!H14="ND",MonitoringData!$F$26*Overview!G$27*Overview!$A$36,MonitoringData!H14*Overview!G$27*Overview!$A$36)</f>
        <v>0</v>
      </c>
      <c r="G15" s="76">
        <f>IF(MonitoringData!I14="ND",MonitoringData!$F$26*Overview!H$27*Overview!$A$36,MonitoringData!I14*Overview!H$27*Overview!$A$36)</f>
        <v>0</v>
      </c>
      <c r="H15" s="76">
        <f>IF(MonitoringData!J14="ND",MonitoringData!$F$26*Overview!I$27*Overview!$A$36,MonitoringData!J14*Overview!I$27*Overview!$A$36)</f>
        <v>0</v>
      </c>
      <c r="I15" s="76">
        <f>IF(MonitoringData!K14="ND",MonitoringData!$F$26*Overview!J$27*Overview!$A$36,MonitoringData!K14*Overview!J$27*Overview!$A$36)</f>
        <v>0</v>
      </c>
      <c r="J15" s="76">
        <f>IF(MonitoringData!L14="ND",MonitoringData!$F$26*Overview!K$27*Overview!$A$36,MonitoringData!L14*Overview!K$27*Overview!$A$36)</f>
        <v>47963762.43240959</v>
      </c>
      <c r="K15" s="76">
        <f>IF(MonitoringData!M14="ND",MonitoringData!$F$26*Overview!L$27*Overview!$A$36,MonitoringData!M14*Overview!L$27*Overview!$A$36)</f>
        <v>37853119.68657407</v>
      </c>
      <c r="L15" s="76">
        <f>IF(MonitoringData!N14="ND",MonitoringData!$F$26*Overview!M$27*Overview!$A$36,MonitoringData!N14*Overview!M$27*Overview!$A$36)</f>
        <v>325091498.484695</v>
      </c>
      <c r="M15" s="76">
        <f>IF(MonitoringData!O14="ND",MonitoringData!$F$26*Overview!N$27*Overview!$A$36,MonitoringData!O14*Overview!N$27*Overview!$A$36)</f>
        <v>0</v>
      </c>
      <c r="N15" s="77">
        <f>IF(MonitoringData!P14="ND",MonitoringData!$F$26*Overview!O$27*Overview!$A$36,MonitoringData!P14*Overview!O$27*Overview!$A$36)</f>
        <v>0</v>
      </c>
    </row>
    <row r="16" spans="1:14" s="10" customFormat="1" ht="14.25" customHeight="1" thickBot="1">
      <c r="A16" s="208"/>
      <c r="B16" s="89" t="str">
        <f>Overview!$A$12</f>
        <v>Silty Sand</v>
      </c>
      <c r="C16" s="78">
        <f>IF(MonitoringData!E15="ND",MonitoringData!$F$26*Overview!D$28*Overview!$A$36,MonitoringData!E15*Overview!D$28*Overview!$A$36)</f>
        <v>0</v>
      </c>
      <c r="D16" s="78">
        <f>IF(MonitoringData!F15="ND",MonitoringData!$F$26*Overview!E$28*Overview!$A$36,MonitoringData!F15*Overview!E$28*Overview!$A$36)</f>
        <v>0</v>
      </c>
      <c r="E16" s="78">
        <f>IF(MonitoringData!G15="ND",MonitoringData!$F$26*Overview!F$28*Overview!$A$36,MonitoringData!G15*Overview!F$28*Overview!$A$36)</f>
        <v>0</v>
      </c>
      <c r="F16" s="78">
        <f>IF(MonitoringData!H15="ND",MonitoringData!$F$26*Overview!G$28*Overview!$A$36,MonitoringData!H15*Overview!G$28*Overview!$A$36)</f>
        <v>0</v>
      </c>
      <c r="G16" s="78">
        <f>IF(MonitoringData!I15="ND",MonitoringData!$F$26*Overview!H$28*Overview!$A$36,MonitoringData!I15*Overview!H$28*Overview!$A$36)</f>
        <v>0</v>
      </c>
      <c r="H16" s="78">
        <f>IF(MonitoringData!J15="ND",MonitoringData!$F$26*Overview!I$28*Overview!$A$36,MonitoringData!J15*Overview!I$28*Overview!$A$36)</f>
        <v>0</v>
      </c>
      <c r="I16" s="78">
        <f>IF(MonitoringData!K15="ND",MonitoringData!$F$26*Overview!J$28*Overview!$A$36,MonitoringData!K15*Overview!J$28*Overview!$A$36)</f>
        <v>0</v>
      </c>
      <c r="J16" s="78">
        <f>IF(MonitoringData!L15="ND",MonitoringData!$F$26*Overview!K$28*Overview!$A$36,MonitoringData!L15*Overview!K$28*Overview!$A$36)</f>
        <v>0</v>
      </c>
      <c r="K16" s="78">
        <f>IF(MonitoringData!M15="ND",MonitoringData!$F$26*Overview!L$28*Overview!$A$36,MonitoringData!M15*Overview!L$28*Overview!$A$36)</f>
        <v>0</v>
      </c>
      <c r="L16" s="78">
        <f>IF(MonitoringData!N15="ND",MonitoringData!$F$26*Overview!M$28*Overview!$A$36,MonitoringData!N15*Overview!M$28*Overview!$A$36)</f>
        <v>0</v>
      </c>
      <c r="M16" s="78">
        <f>IF(MonitoringData!O15="ND",MonitoringData!$F$26*Overview!N$28*Overview!$A$36,MonitoringData!O15*Overview!N$28*Overview!$A$36)</f>
        <v>0</v>
      </c>
      <c r="N16" s="79">
        <f>IF(MonitoringData!P15="ND",MonitoringData!$F$26*Overview!O$28*Overview!$A$36,MonitoringData!P15*Overview!O$28*Overview!$A$36)</f>
        <v>0</v>
      </c>
    </row>
    <row r="17" spans="1:14" s="8" customFormat="1" ht="14.25" customHeight="1" thickBot="1">
      <c r="A17" s="207">
        <f>MonitoringData!C16</f>
        <v>40313</v>
      </c>
      <c r="B17" s="90" t="str">
        <f>Overview!$C$20</f>
        <v>Sand</v>
      </c>
      <c r="C17" s="76">
        <f>IF(MonitoringData!E16="ND",MonitoringData!$F$26*Overview!D$27*Overview!$A$36,MonitoringData!E16*Overview!D$27*Overview!$A$36)</f>
        <v>0</v>
      </c>
      <c r="D17" s="76">
        <f>IF(MonitoringData!F16="ND",MonitoringData!$F$26*Overview!E$27*Overview!$A$36,MonitoringData!F16*Overview!E$27*Overview!$A$36)</f>
        <v>0</v>
      </c>
      <c r="E17" s="76">
        <f>IF(MonitoringData!G16="ND",MonitoringData!$F$26*Overview!F$27*Overview!$A$36,MonitoringData!G16*Overview!F$27*Overview!$A$36)</f>
        <v>202533727.66470143</v>
      </c>
      <c r="F17" s="76">
        <f>IF(MonitoringData!H16="ND",MonitoringData!$F$26*Overview!G$27*Overview!$A$36,MonitoringData!H16*Overview!G$27*Overview!$A$36)</f>
        <v>0</v>
      </c>
      <c r="G17" s="76">
        <f>IF(MonitoringData!I16="ND",MonitoringData!$F$26*Overview!H$27*Overview!$A$36,MonitoringData!I16*Overview!H$27*Overview!$A$36)</f>
        <v>0</v>
      </c>
      <c r="H17" s="76">
        <f>IF(MonitoringData!J16="ND",MonitoringData!$F$26*Overview!I$27*Overview!$A$36,MonitoringData!J16*Overview!I$27*Overview!$A$36)</f>
        <v>0</v>
      </c>
      <c r="I17" s="76">
        <f>IF(MonitoringData!K16="ND",MonitoringData!$F$26*Overview!J$27*Overview!$A$36,MonitoringData!K16*Overview!J$27*Overview!$A$36)</f>
        <v>0</v>
      </c>
      <c r="J17" s="76">
        <f>IF(MonitoringData!L16="ND",MonitoringData!$F$26*Overview!K$27*Overview!$A$36,MonitoringData!L16*Overview!K$27*Overview!$A$36)</f>
        <v>72526557.5903232</v>
      </c>
      <c r="K17" s="76">
        <f>IF(MonitoringData!M16="ND",MonitoringData!$F$26*Overview!L$27*Overview!$A$36,MonitoringData!M16*Overview!L$27*Overview!$A$36)</f>
        <v>6950142.08372736</v>
      </c>
      <c r="L17" s="76">
        <f>IF(MonitoringData!N16="ND",MonitoringData!$F$26*Overview!M$27*Overview!$A$36,MonitoringData!N16*Overview!M$27*Overview!$A$36)</f>
        <v>59689455.542599685</v>
      </c>
      <c r="M17" s="76">
        <f>IF(MonitoringData!O16="ND",MonitoringData!$F$26*Overview!N$27*Overview!$A$36,MonitoringData!O16*Overview!N$27*Overview!$A$36)</f>
        <v>0</v>
      </c>
      <c r="N17" s="77">
        <f>IF(MonitoringData!P16="ND",MonitoringData!$F$26*Overview!O$27*Overview!$A$36,MonitoringData!P16*Overview!O$27*Overview!$A$36)</f>
        <v>0</v>
      </c>
    </row>
    <row r="18" spans="1:14" s="10" customFormat="1" ht="14.25" customHeight="1" thickBot="1">
      <c r="A18" s="208"/>
      <c r="B18" s="89" t="str">
        <f>Overview!$C$21</f>
        <v>Silty Sand</v>
      </c>
      <c r="C18" s="78">
        <f>IF(MonitoringData!E17="ND",MonitoringData!$F$26*Overview!D$28*Overview!$A$36,MonitoringData!E17*Overview!D$28*Overview!$A$36)</f>
        <v>0</v>
      </c>
      <c r="D18" s="78">
        <f>IF(MonitoringData!F17="ND",MonitoringData!$F$26*Overview!E$28*Overview!$A$36,MonitoringData!F17*Overview!E$28*Overview!$A$36)</f>
        <v>0</v>
      </c>
      <c r="E18" s="78">
        <f>IF(MonitoringData!G17="ND",MonitoringData!$F$26*Overview!F$28*Overview!$A$36,MonitoringData!G17*Overview!F$28*Overview!$A$36)</f>
        <v>0</v>
      </c>
      <c r="F18" s="78">
        <f>IF(MonitoringData!H17="ND",MonitoringData!$F$26*Overview!G$28*Overview!$A$36,MonitoringData!H17*Overview!G$28*Overview!$A$36)</f>
        <v>0</v>
      </c>
      <c r="G18" s="78">
        <f>IF(MonitoringData!I17="ND",MonitoringData!$F$26*Overview!H$28*Overview!$A$36,MonitoringData!I17*Overview!H$28*Overview!$A$36)</f>
        <v>0</v>
      </c>
      <c r="H18" s="78">
        <f>IF(MonitoringData!J17="ND",MonitoringData!$F$26*Overview!I$28*Overview!$A$36,MonitoringData!J17*Overview!I$28*Overview!$A$36)</f>
        <v>0</v>
      </c>
      <c r="I18" s="78">
        <f>IF(MonitoringData!K17="ND",MonitoringData!$F$26*Overview!J$28*Overview!$A$36,MonitoringData!K17*Overview!J$28*Overview!$A$36)</f>
        <v>0</v>
      </c>
      <c r="J18" s="78">
        <f>IF(MonitoringData!L17="ND",MonitoringData!$F$26*Overview!K$28*Overview!$A$36,MonitoringData!L17*Overview!K$28*Overview!$A$36)</f>
        <v>0</v>
      </c>
      <c r="K18" s="78">
        <f>IF(MonitoringData!M17="ND",MonitoringData!$F$26*Overview!L$28*Overview!$A$36,MonitoringData!M17*Overview!L$28*Overview!$A$36)</f>
        <v>0</v>
      </c>
      <c r="L18" s="78">
        <f>IF(MonitoringData!N17="ND",MonitoringData!$F$26*Overview!M$28*Overview!$A$36,MonitoringData!N17*Overview!M$28*Overview!$A$36)</f>
        <v>0</v>
      </c>
      <c r="M18" s="78">
        <f>IF(MonitoringData!O17="ND",MonitoringData!$F$26*Overview!N$28*Overview!$A$36,MonitoringData!O17*Overview!N$28*Overview!$A$36)</f>
        <v>0</v>
      </c>
      <c r="N18" s="79">
        <f>IF(MonitoringData!P17="ND",MonitoringData!$F$26*Overview!O$28*Overview!$A$36,MonitoringData!P17*Overview!O$28*Overview!$A$36)</f>
        <v>0</v>
      </c>
    </row>
    <row r="19" spans="1:14" s="8" customFormat="1" ht="14.25" customHeight="1" thickBot="1">
      <c r="A19" s="207">
        <f>MonitoringData!C18</f>
        <v>40344</v>
      </c>
      <c r="B19" s="90" t="str">
        <f>Overview!$C$20</f>
        <v>Sand</v>
      </c>
      <c r="C19" s="76">
        <f>IF(MonitoringData!E18="ND",MonitoringData!$F$26*Overview!D$27*Overview!$A$36,MonitoringData!E18*Overview!D$27*Overview!$A$36)</f>
        <v>0</v>
      </c>
      <c r="D19" s="76">
        <f>IF(MonitoringData!F18="ND",MonitoringData!$F$26*Overview!E$27*Overview!$A$36,MonitoringData!F18*Overview!E$27*Overview!$A$36)</f>
        <v>0</v>
      </c>
      <c r="E19" s="76">
        <f>IF(MonitoringData!G18="ND",MonitoringData!$F$26*Overview!F$27*Overview!$A$36,MonitoringData!G18*Overview!F$27*Overview!$A$36)</f>
        <v>247145726.25985533</v>
      </c>
      <c r="F19" s="76">
        <f>IF(MonitoringData!H18="ND",MonitoringData!$F$26*Overview!G$27*Overview!$A$36,MonitoringData!H18*Overview!G$27*Overview!$A$36)</f>
        <v>0</v>
      </c>
      <c r="G19" s="76">
        <f>IF(MonitoringData!I18="ND",MonitoringData!$F$26*Overview!H$27*Overview!$A$36,MonitoringData!I18*Overview!H$27*Overview!$A$36)</f>
        <v>0</v>
      </c>
      <c r="H19" s="76">
        <f>IF(MonitoringData!J18="ND",MonitoringData!$F$26*Overview!I$27*Overview!$A$36,MonitoringData!J18*Overview!I$27*Overview!$A$36)</f>
        <v>0</v>
      </c>
      <c r="I19" s="76">
        <f>IF(MonitoringData!K18="ND",MonitoringData!$F$26*Overview!J$27*Overview!$A$36,MonitoringData!K18*Overview!J$27*Overview!$A$36)</f>
        <v>0</v>
      </c>
      <c r="J19" s="76">
        <f>IF(MonitoringData!L18="ND",MonitoringData!$F$26*Overview!K$27*Overview!$A$36,MonitoringData!L18*Overview!K$27*Overview!$A$36)</f>
        <v>37825170.0535296</v>
      </c>
      <c r="K19" s="76">
        <f>IF(MonitoringData!M18="ND",MonitoringData!$F$26*Overview!L$27*Overview!$A$36,MonitoringData!M18*Overview!L$27*Overview!$A$36)</f>
        <v>35873354.01259008</v>
      </c>
      <c r="L19" s="76">
        <f>IF(MonitoringData!N18="ND",MonitoringData!$F$26*Overview!M$27*Overview!$A$36,MonitoringData!N18*Overview!M$27*Overview!$A$36)</f>
        <v>308088805.04930305</v>
      </c>
      <c r="M19" s="76">
        <f>IF(MonitoringData!O18="ND",MonitoringData!$F$26*Overview!N$27*Overview!$A$36,MonitoringData!O18*Overview!N$27*Overview!$A$36)</f>
        <v>0</v>
      </c>
      <c r="N19" s="77">
        <f>IF(MonitoringData!P18="ND",MonitoringData!$F$26*Overview!O$27*Overview!$A$36,MonitoringData!P18*Overview!O$27*Overview!$A$36)</f>
        <v>0</v>
      </c>
    </row>
    <row r="20" spans="1:14" s="10" customFormat="1" ht="14.25" customHeight="1" thickBot="1">
      <c r="A20" s="208"/>
      <c r="B20" s="89" t="str">
        <f>Overview!$C$21</f>
        <v>Silty Sand</v>
      </c>
      <c r="C20" s="78">
        <f>IF(MonitoringData!E19="ND",MonitoringData!$F$26*Overview!D$28*Overview!$A$36,MonitoringData!E19*Overview!D$28*Overview!$A$36)</f>
        <v>0</v>
      </c>
      <c r="D20" s="78">
        <f>IF(MonitoringData!F19="ND",MonitoringData!$F$26*Overview!E$28*Overview!$A$36,MonitoringData!F19*Overview!E$28*Overview!$A$36)</f>
        <v>0</v>
      </c>
      <c r="E20" s="78">
        <f>IF(MonitoringData!G19="ND",MonitoringData!$F$26*Overview!F$28*Overview!$A$36,MonitoringData!G19*Overview!F$28*Overview!$A$36)</f>
        <v>0</v>
      </c>
      <c r="F20" s="78">
        <f>IF(MonitoringData!H19="ND",MonitoringData!$F$26*Overview!G$28*Overview!$A$36,MonitoringData!H19*Overview!G$28*Overview!$A$36)</f>
        <v>0</v>
      </c>
      <c r="G20" s="78">
        <f>IF(MonitoringData!I19="ND",MonitoringData!$F$26*Overview!H$28*Overview!$A$36,MonitoringData!I19*Overview!H$28*Overview!$A$36)</f>
        <v>0</v>
      </c>
      <c r="H20" s="78">
        <f>IF(MonitoringData!J19="ND",MonitoringData!$F$26*Overview!I$28*Overview!$A$36,MonitoringData!J19*Overview!I$28*Overview!$A$36)</f>
        <v>0</v>
      </c>
      <c r="I20" s="78">
        <f>IF(MonitoringData!K19="ND",MonitoringData!$F$26*Overview!J$28*Overview!$A$36,MonitoringData!K19*Overview!J$28*Overview!$A$36)</f>
        <v>0</v>
      </c>
      <c r="J20" s="78">
        <f>IF(MonitoringData!L19="ND",MonitoringData!$F$26*Overview!K$28*Overview!$A$36,MonitoringData!L19*Overview!K$28*Overview!$A$36)</f>
        <v>0</v>
      </c>
      <c r="K20" s="78">
        <f>IF(MonitoringData!M19="ND",MonitoringData!$F$26*Overview!L$28*Overview!$A$36,MonitoringData!M19*Overview!L$28*Overview!$A$36)</f>
        <v>0</v>
      </c>
      <c r="L20" s="78">
        <f>IF(MonitoringData!N19="ND",MonitoringData!$F$26*Overview!M$28*Overview!$A$36,MonitoringData!N19*Overview!M$28*Overview!$A$36)</f>
        <v>0</v>
      </c>
      <c r="M20" s="78">
        <f>IF(MonitoringData!O19="ND",MonitoringData!$F$26*Overview!N$28*Overview!$A$36,MonitoringData!O19*Overview!N$28*Overview!$A$36)</f>
        <v>0</v>
      </c>
      <c r="N20" s="79">
        <f>IF(MonitoringData!P19="ND",MonitoringData!$F$26*Overview!O$28*Overview!$A$36,MonitoringData!P19*Overview!O$28*Overview!$A$36)</f>
        <v>0</v>
      </c>
    </row>
    <row r="21" spans="1:14" s="8" customFormat="1" ht="14.25" customHeight="1" thickBot="1">
      <c r="A21" s="207">
        <f>MonitoringData!C20</f>
        <v>40374</v>
      </c>
      <c r="B21" s="90" t="str">
        <f>Overview!$C$20</f>
        <v>Sand</v>
      </c>
      <c r="C21" s="76">
        <f>IF(MonitoringData!E20="ND",MonitoringData!$F$26*Overview!D$27*Overview!$A$36,MonitoringData!E20*Overview!D$27*Overview!$A$36)</f>
        <v>0</v>
      </c>
      <c r="D21" s="76">
        <f>IF(MonitoringData!F20="ND",MonitoringData!$F$26*Overview!E$27*Overview!$A$36,MonitoringData!F20*Overview!E$27*Overview!$A$36)</f>
        <v>0</v>
      </c>
      <c r="E21" s="76">
        <f>IF(MonitoringData!G20="ND",MonitoringData!$F$26*Overview!F$27*Overview!$A$36,MonitoringData!G20*Overview!F$27*Overview!$A$36)</f>
        <v>349302457.0854605</v>
      </c>
      <c r="F21" s="76">
        <f>IF(MonitoringData!H20="ND",MonitoringData!$F$26*Overview!G$27*Overview!$A$36,MonitoringData!H20*Overview!G$27*Overview!$A$36)</f>
        <v>0</v>
      </c>
      <c r="G21" s="76">
        <f>IF(MonitoringData!I20="ND",MonitoringData!$F$26*Overview!H$27*Overview!$A$36,MonitoringData!I20*Overview!H$27*Overview!$A$36)</f>
        <v>0</v>
      </c>
      <c r="H21" s="76">
        <f>IF(MonitoringData!J20="ND",MonitoringData!$F$26*Overview!I$27*Overview!$A$36,MonitoringData!J20*Overview!I$27*Overview!$A$36)</f>
        <v>0</v>
      </c>
      <c r="I21" s="76">
        <f>IF(MonitoringData!K20="ND",MonitoringData!$F$26*Overview!J$27*Overview!$A$36,MonitoringData!K20*Overview!J$27*Overview!$A$36)</f>
        <v>0</v>
      </c>
      <c r="J21" s="76">
        <f>IF(MonitoringData!L20="ND",MonitoringData!$F$26*Overview!K$27*Overview!$A$36,MonitoringData!L20*Overview!K$27*Overview!$A$36)</f>
        <v>30114359.525375996</v>
      </c>
      <c r="K21" s="76">
        <f>IF(MonitoringData!M20="ND",MonitoringData!$F$26*Overview!L$27*Overview!$A$36,MonitoringData!M20*Overview!L$27*Overview!$A$36)</f>
        <v>8785501.320314879</v>
      </c>
      <c r="L21" s="76">
        <f>IF(MonitoringData!N20="ND",MonitoringData!$F$26*Overview!M$27*Overview!$A$36,MonitoringData!N20*Overview!M$27*Overview!$A$36)</f>
        <v>75451952.51564544</v>
      </c>
      <c r="M21" s="76">
        <f>IF(MonitoringData!O20="ND",MonitoringData!$F$26*Overview!N$27*Overview!$A$36,MonitoringData!O20*Overview!N$27*Overview!$A$36)</f>
        <v>0</v>
      </c>
      <c r="N21" s="77">
        <f>IF(MonitoringData!P20="ND",MonitoringData!$F$26*Overview!O$27*Overview!$A$36,MonitoringData!P20*Overview!O$27*Overview!$A$36)</f>
        <v>0</v>
      </c>
    </row>
    <row r="22" spans="1:14" s="10" customFormat="1" ht="14.25" customHeight="1" thickBot="1">
      <c r="A22" s="208"/>
      <c r="B22" s="89" t="str">
        <f>Overview!$C$21</f>
        <v>Silty Sand</v>
      </c>
      <c r="C22" s="78">
        <f>IF(MonitoringData!E21="ND",MonitoringData!$F$26*Overview!D$28*Overview!$A$36,MonitoringData!E21*Overview!D$28*Overview!$A$36)</f>
        <v>0</v>
      </c>
      <c r="D22" s="78">
        <f>IF(MonitoringData!F21="ND",MonitoringData!$F$26*Overview!E$28*Overview!$A$36,MonitoringData!F21*Overview!E$28*Overview!$A$36)</f>
        <v>0</v>
      </c>
      <c r="E22" s="78">
        <f>IF(MonitoringData!G21="ND",MonitoringData!$F$26*Overview!F$28*Overview!$A$36,MonitoringData!G21*Overview!F$28*Overview!$A$36)</f>
        <v>0</v>
      </c>
      <c r="F22" s="78">
        <f>IF(MonitoringData!H21="ND",MonitoringData!$F$26*Overview!G$28*Overview!$A$36,MonitoringData!H21*Overview!G$28*Overview!$A$36)</f>
        <v>0</v>
      </c>
      <c r="G22" s="78">
        <f>IF(MonitoringData!I21="ND",MonitoringData!$F$26*Overview!H$28*Overview!$A$36,MonitoringData!I21*Overview!H$28*Overview!$A$36)</f>
        <v>0</v>
      </c>
      <c r="H22" s="78">
        <f>IF(MonitoringData!J21="ND",MonitoringData!$F$26*Overview!I$28*Overview!$A$36,MonitoringData!J21*Overview!I$28*Overview!$A$36)</f>
        <v>0</v>
      </c>
      <c r="I22" s="78">
        <f>IF(MonitoringData!K21="ND",MonitoringData!$F$26*Overview!J$28*Overview!$A$36,MonitoringData!K21*Overview!J$28*Overview!$A$36)</f>
        <v>0</v>
      </c>
      <c r="J22" s="78">
        <f>IF(MonitoringData!L21="ND",MonitoringData!$F$26*Overview!K$28*Overview!$A$36,MonitoringData!L21*Overview!K$28*Overview!$A$36)</f>
        <v>0</v>
      </c>
      <c r="K22" s="78">
        <f>IF(MonitoringData!M21="ND",MonitoringData!$F$26*Overview!L$28*Overview!$A$36,MonitoringData!M21*Overview!L$28*Overview!$A$36)</f>
        <v>0</v>
      </c>
      <c r="L22" s="78">
        <f>IF(MonitoringData!N21="ND",MonitoringData!$F$26*Overview!M$28*Overview!$A$36,MonitoringData!N21*Overview!M$28*Overview!$A$36)</f>
        <v>0</v>
      </c>
      <c r="M22" s="78">
        <f>IF(MonitoringData!O21="ND",MonitoringData!$F$26*Overview!N$28*Overview!$A$36,MonitoringData!O21*Overview!N$28*Overview!$A$36)</f>
        <v>0</v>
      </c>
      <c r="N22" s="79">
        <f>IF(MonitoringData!P21="ND",MonitoringData!$F$26*Overview!O$28*Overview!$A$36,MonitoringData!P21*Overview!O$28*Overview!$A$36)</f>
        <v>0</v>
      </c>
    </row>
    <row r="23" spans="1:14" s="8" customFormat="1" ht="14.25" customHeight="1" thickBot="1">
      <c r="A23" s="207">
        <f>MonitoringData!C22</f>
        <v>40405</v>
      </c>
      <c r="B23" s="90" t="str">
        <f>Overview!$C$20</f>
        <v>Sand</v>
      </c>
      <c r="C23" s="76">
        <f>IF(MonitoringData!E22="ND",MonitoringData!$F$26*Overview!D$27*Overview!$A$36,MonitoringData!E22*Overview!D$27*Overview!$A$36)</f>
        <v>0</v>
      </c>
      <c r="D23" s="76">
        <f>IF(MonitoringData!F22="ND",MonitoringData!$F$26*Overview!E$27*Overview!$A$36,MonitoringData!F22*Overview!E$27*Overview!$A$36)</f>
        <v>0</v>
      </c>
      <c r="E23" s="76">
        <f>IF(MonitoringData!G22="ND",MonitoringData!$F$26*Overview!F$27*Overview!$A$36,MonitoringData!G22*Overview!F$27*Overview!$A$36)</f>
        <v>0</v>
      </c>
      <c r="F23" s="76">
        <f>IF(MonitoringData!H22="ND",MonitoringData!$F$26*Overview!G$27*Overview!$A$36,MonitoringData!H22*Overview!G$27*Overview!$A$36)</f>
        <v>0</v>
      </c>
      <c r="G23" s="76">
        <f>IF(MonitoringData!I22="ND",MonitoringData!$F$26*Overview!H$27*Overview!$A$36,MonitoringData!I22*Overview!H$27*Overview!$A$36)</f>
        <v>0</v>
      </c>
      <c r="H23" s="76">
        <f>IF(MonitoringData!J22="ND",MonitoringData!$F$26*Overview!I$27*Overview!$A$36,MonitoringData!J22*Overview!I$27*Overview!$A$36)</f>
        <v>0</v>
      </c>
      <c r="I23" s="76">
        <f>IF(MonitoringData!K22="ND",MonitoringData!$F$26*Overview!J$27*Overview!$A$36,MonitoringData!K22*Overview!J$27*Overview!$A$36)</f>
        <v>0</v>
      </c>
      <c r="J23" s="76">
        <f>IF(MonitoringData!L22="ND",MonitoringData!$F$26*Overview!K$27*Overview!$A$36,MonitoringData!L22*Overview!K$27*Overview!$A$36)</f>
        <v>25878072.007065598</v>
      </c>
      <c r="K23" s="76">
        <f>IF(MonitoringData!M22="ND",MonitoringData!$F$26*Overview!L$27*Overview!$A$36,MonitoringData!M22*Overview!L$27*Overview!$A$36)</f>
        <v>5403595.7219328</v>
      </c>
      <c r="L23" s="76">
        <f>IF(MonitoringData!N22="ND",MonitoringData!$F$26*Overview!M$27*Overview!$A$36,MonitoringData!N22*Overview!M$27*Overview!$A$36)</f>
        <v>46407351.4942464</v>
      </c>
      <c r="M23" s="76">
        <f>IF(MonitoringData!O22="ND",MonitoringData!$F$26*Overview!N$27*Overview!$A$36,MonitoringData!O22*Overview!N$27*Overview!$A$36)</f>
        <v>0</v>
      </c>
      <c r="N23" s="77">
        <f>IF(MonitoringData!P22="ND",MonitoringData!$F$26*Overview!O$27*Overview!$A$36,MonitoringData!P22*Overview!O$27*Overview!$A$36)</f>
        <v>0</v>
      </c>
    </row>
    <row r="24" spans="1:14" s="10" customFormat="1" ht="14.25" customHeight="1" thickBot="1">
      <c r="A24" s="208"/>
      <c r="B24" s="89" t="str">
        <f>Overview!$C$21</f>
        <v>Silty Sand</v>
      </c>
      <c r="C24" s="78">
        <f>IF(MonitoringData!E23="ND",MonitoringData!$F$26*Overview!D$28*Overview!$A$36,MonitoringData!E23*Overview!D$28*Overview!$A$36)</f>
        <v>0</v>
      </c>
      <c r="D24" s="78">
        <f>IF(MonitoringData!F23="ND",MonitoringData!$F$26*Overview!E$28*Overview!$A$36,MonitoringData!F23*Overview!E$28*Overview!$A$36)</f>
        <v>0</v>
      </c>
      <c r="E24" s="78">
        <f>IF(MonitoringData!G23="ND",MonitoringData!$F$26*Overview!F$28*Overview!$A$36,MonitoringData!G23*Overview!F$28*Overview!$A$36)</f>
        <v>0</v>
      </c>
      <c r="F24" s="78">
        <f>IF(MonitoringData!H23="ND",MonitoringData!$F$26*Overview!G$28*Overview!$A$36,MonitoringData!H23*Overview!G$28*Overview!$A$36)</f>
        <v>0</v>
      </c>
      <c r="G24" s="78">
        <f>IF(MonitoringData!I23="ND",MonitoringData!$F$26*Overview!H$28*Overview!$A$36,MonitoringData!I23*Overview!H$28*Overview!$A$36)</f>
        <v>0</v>
      </c>
      <c r="H24" s="78">
        <f>IF(MonitoringData!J23="ND",MonitoringData!$F$26*Overview!I$28*Overview!$A$36,MonitoringData!J23*Overview!I$28*Overview!$A$36)</f>
        <v>0</v>
      </c>
      <c r="I24" s="78">
        <f>IF(MonitoringData!K23="ND",MonitoringData!$F$26*Overview!J$28*Overview!$A$36,MonitoringData!K23*Overview!J$28*Overview!$A$36)</f>
        <v>0</v>
      </c>
      <c r="J24" s="78">
        <f>IF(MonitoringData!L23="ND",MonitoringData!$F$26*Overview!K$28*Overview!$A$36,MonitoringData!L23*Overview!K$28*Overview!$A$36)</f>
        <v>0</v>
      </c>
      <c r="K24" s="78">
        <f>IF(MonitoringData!M23="ND",MonitoringData!$F$26*Overview!L$28*Overview!$A$36,MonitoringData!M23*Overview!L$28*Overview!$A$36)</f>
        <v>0</v>
      </c>
      <c r="L24" s="78">
        <f>IF(MonitoringData!N23="ND",MonitoringData!$F$26*Overview!M$28*Overview!$A$36,MonitoringData!N23*Overview!M$28*Overview!$A$36)</f>
        <v>0</v>
      </c>
      <c r="M24" s="78">
        <f>IF(MonitoringData!O23="ND",MonitoringData!$F$26*Overview!N$28*Overview!$A$36,MonitoringData!O23*Overview!N$28*Overview!$A$36)</f>
        <v>0</v>
      </c>
      <c r="N24" s="79">
        <f>IF(MonitoringData!P23="ND",MonitoringData!$F$26*Overview!O$28*Overview!$A$36,MonitoringData!P23*Overview!O$28*Overview!$A$36)</f>
        <v>0</v>
      </c>
    </row>
    <row r="25" spans="1:14" s="7" customFormat="1" ht="14.25" customHeight="1" thickBot="1">
      <c r="A25" s="210">
        <f>MonitoringData!C24</f>
        <v>40436</v>
      </c>
      <c r="B25" s="90" t="str">
        <f>Overview!$C$20</f>
        <v>Sand</v>
      </c>
      <c r="C25" s="76">
        <f>IF(MonitoringData!E24="ND",MonitoringData!$F$26*Overview!D$27*Overview!$A$36,MonitoringData!E24*Overview!D$27*Overview!$A$36)</f>
        <v>0</v>
      </c>
      <c r="D25" s="76">
        <f>IF(MonitoringData!F24="ND",MonitoringData!$F$26*Overview!E$27*Overview!$A$36,MonitoringData!F24*Overview!E$27*Overview!$A$36)</f>
        <v>0</v>
      </c>
      <c r="E25" s="76">
        <f>IF(MonitoringData!G24="ND",MonitoringData!$F$26*Overview!F$27*Overview!$A$36,MonitoringData!G24*Overview!F$27*Overview!$A$36)</f>
        <v>0</v>
      </c>
      <c r="F25" s="76">
        <f>IF(MonitoringData!H24="ND",MonitoringData!$F$26*Overview!G$27*Overview!$A$36,MonitoringData!H24*Overview!G$27*Overview!$A$36)</f>
        <v>0</v>
      </c>
      <c r="G25" s="76">
        <f>IF(MonitoringData!I24="ND",MonitoringData!$F$26*Overview!H$27*Overview!$A$36,MonitoringData!I24*Overview!H$27*Overview!$A$36)</f>
        <v>0</v>
      </c>
      <c r="H25" s="76">
        <f>IF(MonitoringData!J24="ND",MonitoringData!$F$26*Overview!I$27*Overview!$A$36,MonitoringData!J24*Overview!I$27*Overview!$A$36)</f>
        <v>0</v>
      </c>
      <c r="I25" s="76">
        <f>IF(MonitoringData!K24="ND",MonitoringData!$F$26*Overview!J$27*Overview!$A$36,MonitoringData!K24*Overview!J$27*Overview!$A$36)</f>
        <v>0</v>
      </c>
      <c r="J25" s="76">
        <f>IF(MonitoringData!L24="ND",MonitoringData!$F$26*Overview!K$27*Overview!$A$36,MonitoringData!L24*Overview!K$27*Overview!$A$36)</f>
        <v>0</v>
      </c>
      <c r="K25" s="76">
        <f>IF(MonitoringData!M24="ND",MonitoringData!$F$26*Overview!L$27*Overview!$A$36,MonitoringData!M24*Overview!L$27*Overview!$A$36)</f>
        <v>0</v>
      </c>
      <c r="L25" s="76">
        <f>IF(MonitoringData!N24="ND",MonitoringData!$F$26*Overview!M$27*Overview!$A$36,MonitoringData!N24*Overview!M$27*Overview!$A$36)</f>
        <v>0</v>
      </c>
      <c r="M25" s="76">
        <f>IF(MonitoringData!O24="ND",MonitoringData!$F$26*Overview!N$27*Overview!$A$36,MonitoringData!O24*Overview!N$27*Overview!$A$36)</f>
        <v>0</v>
      </c>
      <c r="N25" s="77">
        <f>IF(MonitoringData!P24="ND",MonitoringData!$F$26*Overview!O$27*Overview!$A$36,MonitoringData!P24*Overview!O$27*Overview!$A$36)</f>
        <v>0</v>
      </c>
    </row>
    <row r="26" spans="1:14" s="10" customFormat="1" ht="14.25" customHeight="1" thickBot="1">
      <c r="A26" s="211"/>
      <c r="B26" s="89" t="str">
        <f>Overview!$C$21</f>
        <v>Silty Sand</v>
      </c>
      <c r="C26" s="80">
        <f>IF(MonitoringData!E25="ND",MonitoringData!$F$26*Overview!D$28*Overview!$A$36,MonitoringData!E25*Overview!D$28*Overview!$A$36)</f>
        <v>0</v>
      </c>
      <c r="D26" s="80">
        <f>IF(MonitoringData!F25="ND",MonitoringData!$F$26*Overview!E$28*Overview!$A$36,MonitoringData!F25*Overview!E$28*Overview!$A$36)</f>
        <v>0</v>
      </c>
      <c r="E26" s="80">
        <f>IF(MonitoringData!G25="ND",MonitoringData!$F$26*Overview!F$28*Overview!$A$36,MonitoringData!G25*Overview!F$28*Overview!$A$36)</f>
        <v>0</v>
      </c>
      <c r="F26" s="80">
        <f>IF(MonitoringData!H25="ND",MonitoringData!$F$26*Overview!G$28*Overview!$A$36,MonitoringData!H25*Overview!G$28*Overview!$A$36)</f>
        <v>0</v>
      </c>
      <c r="G26" s="80">
        <f>IF(MonitoringData!I25="ND",MonitoringData!$F$26*Overview!H$28*Overview!$A$36,MonitoringData!I25*Overview!H$28*Overview!$A$36)</f>
        <v>0</v>
      </c>
      <c r="H26" s="80">
        <f>IF(MonitoringData!J25="ND",MonitoringData!$F$26*Overview!I$28*Overview!$A$36,MonitoringData!J25*Overview!I$28*Overview!$A$36)</f>
        <v>0</v>
      </c>
      <c r="I26" s="80">
        <f>IF(MonitoringData!K25="ND",MonitoringData!$F$26*Overview!J$28*Overview!$A$36,MonitoringData!K25*Overview!J$28*Overview!$A$36)</f>
        <v>0</v>
      </c>
      <c r="J26" s="80">
        <f>IF(MonitoringData!L25="ND",MonitoringData!$F$26*Overview!K$28*Overview!$A$36,MonitoringData!L25*Overview!K$28*Overview!$A$36)</f>
        <v>0</v>
      </c>
      <c r="K26" s="80">
        <f>IF(MonitoringData!M25="ND",MonitoringData!$F$26*Overview!L$28*Overview!$A$36,MonitoringData!M25*Overview!L$28*Overview!$A$36)</f>
        <v>0</v>
      </c>
      <c r="L26" s="80">
        <f>IF(MonitoringData!N25="ND",MonitoringData!$F$26*Overview!M$28*Overview!$A$36,MonitoringData!N25*Overview!M$28*Overview!$A$36)</f>
        <v>0</v>
      </c>
      <c r="M26" s="80">
        <f>IF(MonitoringData!O25="ND",MonitoringData!$F$26*Overview!N$28*Overview!$A$36,MonitoringData!O25*Overview!N$28*Overview!$A$36)</f>
        <v>0</v>
      </c>
      <c r="N26" s="81">
        <f>IF(MonitoringData!P25="ND",MonitoringData!$F$26*Overview!O$28*Overview!$A$36,MonitoringData!P25*Overview!O$28*Overview!$A$36)</f>
        <v>0</v>
      </c>
    </row>
    <row r="28" spans="1:13" ht="14.25">
      <c r="A28" s="27"/>
      <c r="B28" s="26"/>
      <c r="C28" s="22"/>
      <c r="D28" s="56"/>
      <c r="E28" s="56"/>
      <c r="F28" s="23"/>
      <c r="G28" s="55"/>
      <c r="H28" s="55"/>
      <c r="J28"/>
      <c r="K28" s="7"/>
      <c r="L28"/>
      <c r="M28" s="10"/>
    </row>
    <row r="29" spans="1:8" s="16" customFormat="1" ht="13.5">
      <c r="A29" s="212" t="s">
        <v>66</v>
      </c>
      <c r="B29" s="212"/>
      <c r="C29" s="212"/>
      <c r="D29" s="212"/>
      <c r="E29" s="212"/>
      <c r="F29" s="212"/>
      <c r="G29" s="212"/>
      <c r="H29" s="212"/>
    </row>
    <row r="30" spans="1:8" ht="13.5">
      <c r="A30" s="42"/>
      <c r="B30" s="213" t="str">
        <f>Overview!$C$20</f>
        <v>Sand</v>
      </c>
      <c r="C30" s="213"/>
      <c r="D30" s="213"/>
      <c r="E30" s="214" t="str">
        <f>Overview!$C$21</f>
        <v>Silty Sand</v>
      </c>
      <c r="F30" s="214"/>
      <c r="G30" s="214"/>
      <c r="H30" s="214"/>
    </row>
    <row r="31" spans="1:12" s="7" customFormat="1" ht="13.5">
      <c r="A31" s="125" t="s">
        <v>15</v>
      </c>
      <c r="B31" s="126" t="s">
        <v>41</v>
      </c>
      <c r="C31" s="126" t="s">
        <v>10</v>
      </c>
      <c r="D31" s="126" t="s">
        <v>9</v>
      </c>
      <c r="E31" s="215" t="s">
        <v>8</v>
      </c>
      <c r="F31" s="215"/>
      <c r="G31" s="127" t="s">
        <v>10</v>
      </c>
      <c r="H31" s="127" t="s">
        <v>9</v>
      </c>
      <c r="L31" s="10"/>
    </row>
    <row r="32" spans="1:14" ht="14.25">
      <c r="A32" s="87">
        <f>A3</f>
        <v>40101</v>
      </c>
      <c r="B32" s="82">
        <f>SUM(C3:N3)</f>
        <v>909336926.8459928</v>
      </c>
      <c r="C32" s="83">
        <f>B32/1000000000000</f>
        <v>0.0009093369268459928</v>
      </c>
      <c r="D32" s="83">
        <f aca="true" t="shared" si="0" ref="D32:D43">C32*365.25</f>
        <v>0.3321353125304989</v>
      </c>
      <c r="E32" s="209">
        <f>SUM(C4:N4)</f>
        <v>0</v>
      </c>
      <c r="F32" s="209"/>
      <c r="G32" s="84">
        <f aca="true" t="shared" si="1" ref="G32:G43">E32/1000000000000</f>
        <v>0</v>
      </c>
      <c r="H32" s="84">
        <f aca="true" t="shared" si="2" ref="H32:H43">G32*365.25</f>
        <v>0</v>
      </c>
      <c r="I32" s="37"/>
      <c r="J32" s="37"/>
      <c r="K32" s="37"/>
      <c r="L32" s="12"/>
      <c r="M32" s="54"/>
      <c r="N32" s="54"/>
    </row>
    <row r="33" spans="1:14" ht="14.25">
      <c r="A33" s="87">
        <f>A5</f>
        <v>40132</v>
      </c>
      <c r="B33" s="82">
        <f>SUM(C5:N5)</f>
        <v>9843639627.34559</v>
      </c>
      <c r="C33" s="83">
        <f aca="true" t="shared" si="3" ref="C33:C43">B33/1000000000000</f>
        <v>0.00984363962734559</v>
      </c>
      <c r="D33" s="83">
        <f t="shared" si="0"/>
        <v>3.5953893738879765</v>
      </c>
      <c r="E33" s="209">
        <f>SUM(C6:N6)</f>
        <v>0</v>
      </c>
      <c r="F33" s="209"/>
      <c r="G33" s="84">
        <f t="shared" si="1"/>
        <v>0</v>
      </c>
      <c r="H33" s="84">
        <f t="shared" si="2"/>
        <v>0</v>
      </c>
      <c r="I33" s="12"/>
      <c r="J33" s="12"/>
      <c r="K33" s="12"/>
      <c r="L33" s="12"/>
      <c r="M33" s="53"/>
      <c r="N33" s="53"/>
    </row>
    <row r="34" spans="1:14" ht="14.25">
      <c r="A34" s="87">
        <f>A7</f>
        <v>40162</v>
      </c>
      <c r="B34" s="82">
        <f>SUM(C7:N7)</f>
        <v>1860662971.0371225</v>
      </c>
      <c r="C34" s="83">
        <f t="shared" si="3"/>
        <v>0.0018606629710371226</v>
      </c>
      <c r="D34" s="83">
        <f t="shared" si="0"/>
        <v>0.679607150171309</v>
      </c>
      <c r="E34" s="209">
        <f>SUM(C8:N8)</f>
        <v>0</v>
      </c>
      <c r="F34" s="209"/>
      <c r="G34" s="84">
        <f t="shared" si="1"/>
        <v>0</v>
      </c>
      <c r="H34" s="84">
        <f t="shared" si="2"/>
        <v>0</v>
      </c>
      <c r="I34" s="12"/>
      <c r="J34" s="12"/>
      <c r="K34" s="12"/>
      <c r="L34" s="12"/>
      <c r="M34" s="53"/>
      <c r="N34" s="53"/>
    </row>
    <row r="35" spans="1:14" s="8" customFormat="1" ht="14.25">
      <c r="A35" s="87">
        <f>A9</f>
        <v>40193</v>
      </c>
      <c r="B35" s="82">
        <f>SUM(C9:N9)</f>
        <v>876655311.3206784</v>
      </c>
      <c r="C35" s="83">
        <f t="shared" si="3"/>
        <v>0.0008766553113206784</v>
      </c>
      <c r="D35" s="83">
        <f t="shared" si="0"/>
        <v>0.32019835245987777</v>
      </c>
      <c r="E35" s="209">
        <f>SUM(C10:N10)</f>
        <v>0</v>
      </c>
      <c r="F35" s="209"/>
      <c r="G35" s="84">
        <f t="shared" si="1"/>
        <v>0</v>
      </c>
      <c r="H35" s="84">
        <f t="shared" si="2"/>
        <v>0</v>
      </c>
      <c r="I35" s="12"/>
      <c r="J35" s="12"/>
      <c r="K35" s="12"/>
      <c r="L35" s="12"/>
      <c r="M35" s="53"/>
      <c r="N35" s="53"/>
    </row>
    <row r="36" spans="1:14" s="8" customFormat="1" ht="14.25">
      <c r="A36" s="87">
        <f>A11</f>
        <v>40224</v>
      </c>
      <c r="B36" s="82">
        <f>SUM(C11:N11)</f>
        <v>373972666.5193882</v>
      </c>
      <c r="C36" s="83">
        <f t="shared" si="3"/>
        <v>0.0003739726665193882</v>
      </c>
      <c r="D36" s="83">
        <f t="shared" si="0"/>
        <v>0.13659351644620654</v>
      </c>
      <c r="E36" s="209">
        <f>SUM(C12:N12)</f>
        <v>0</v>
      </c>
      <c r="F36" s="209"/>
      <c r="G36" s="84">
        <f t="shared" si="1"/>
        <v>0</v>
      </c>
      <c r="H36" s="84">
        <f t="shared" si="2"/>
        <v>0</v>
      </c>
      <c r="I36" s="12"/>
      <c r="J36" s="12"/>
      <c r="K36" s="12"/>
      <c r="L36" s="12"/>
      <c r="M36" s="53"/>
      <c r="N36" s="53"/>
    </row>
    <row r="37" spans="1:14" s="8" customFormat="1" ht="14.25">
      <c r="A37" s="87">
        <f>A13</f>
        <v>40252</v>
      </c>
      <c r="B37" s="82">
        <f>SUM(C13:N13)</f>
        <v>484177795.5977625</v>
      </c>
      <c r="C37" s="83">
        <f t="shared" si="3"/>
        <v>0.0004841777955977625</v>
      </c>
      <c r="D37" s="83">
        <f t="shared" si="0"/>
        <v>0.17684593984208274</v>
      </c>
      <c r="E37" s="209">
        <f>SUM(C14:N14)</f>
        <v>0</v>
      </c>
      <c r="F37" s="209"/>
      <c r="G37" s="84">
        <f t="shared" si="1"/>
        <v>0</v>
      </c>
      <c r="H37" s="84">
        <f t="shared" si="2"/>
        <v>0</v>
      </c>
      <c r="I37" s="12"/>
      <c r="J37" s="12"/>
      <c r="K37" s="12"/>
      <c r="L37" s="12"/>
      <c r="M37" s="53"/>
      <c r="N37" s="53"/>
    </row>
    <row r="38" spans="1:14" s="8" customFormat="1" ht="14.25">
      <c r="A38" s="87">
        <f>A15</f>
        <v>40283</v>
      </c>
      <c r="B38" s="82">
        <f>SUM(C15:N15)</f>
        <v>729836710.9860556</v>
      </c>
      <c r="C38" s="83">
        <f t="shared" si="3"/>
        <v>0.0007298367109860556</v>
      </c>
      <c r="D38" s="83">
        <f t="shared" si="0"/>
        <v>0.2665728586876568</v>
      </c>
      <c r="E38" s="209">
        <f>SUM(C16:N16)</f>
        <v>0</v>
      </c>
      <c r="F38" s="209"/>
      <c r="G38" s="84">
        <f t="shared" si="1"/>
        <v>0</v>
      </c>
      <c r="H38" s="84">
        <f t="shared" si="2"/>
        <v>0</v>
      </c>
      <c r="I38" s="12"/>
      <c r="J38" s="12"/>
      <c r="K38" s="12"/>
      <c r="L38" s="12"/>
      <c r="M38" s="53"/>
      <c r="N38" s="53"/>
    </row>
    <row r="39" spans="1:14" s="8" customFormat="1" ht="14.25">
      <c r="A39" s="87">
        <f>A17</f>
        <v>40313</v>
      </c>
      <c r="B39" s="82">
        <f>SUM(C17:N17)</f>
        <v>341699882.88135165</v>
      </c>
      <c r="C39" s="83">
        <f t="shared" si="3"/>
        <v>0.00034169988288135163</v>
      </c>
      <c r="D39" s="83">
        <f t="shared" si="0"/>
        <v>0.12480588222241368</v>
      </c>
      <c r="E39" s="209">
        <f>SUM(C18:N18)</f>
        <v>0</v>
      </c>
      <c r="F39" s="209"/>
      <c r="G39" s="84">
        <f t="shared" si="1"/>
        <v>0</v>
      </c>
      <c r="H39" s="84">
        <f t="shared" si="2"/>
        <v>0</v>
      </c>
      <c r="I39" s="12"/>
      <c r="J39" s="12"/>
      <c r="K39" s="12"/>
      <c r="L39" s="12"/>
      <c r="M39" s="53"/>
      <c r="N39" s="53"/>
    </row>
    <row r="40" spans="1:14" s="8" customFormat="1" ht="14.25">
      <c r="A40" s="87">
        <f>A19</f>
        <v>40344</v>
      </c>
      <c r="B40" s="82">
        <f>SUM(C19:N19)</f>
        <v>628933055.3752781</v>
      </c>
      <c r="C40" s="83">
        <f t="shared" si="3"/>
        <v>0.0006289330553752781</v>
      </c>
      <c r="D40" s="83">
        <f t="shared" si="0"/>
        <v>0.22971779847582033</v>
      </c>
      <c r="E40" s="209">
        <f>SUM(C20:N20)</f>
        <v>0</v>
      </c>
      <c r="F40" s="209"/>
      <c r="G40" s="84">
        <f t="shared" si="1"/>
        <v>0</v>
      </c>
      <c r="H40" s="84">
        <f t="shared" si="2"/>
        <v>0</v>
      </c>
      <c r="I40" s="12"/>
      <c r="J40" s="12"/>
      <c r="K40" s="12"/>
      <c r="L40" s="12"/>
      <c r="M40" s="53"/>
      <c r="N40" s="53"/>
    </row>
    <row r="41" spans="1:14" s="8" customFormat="1" ht="14.25">
      <c r="A41" s="87">
        <f>A21</f>
        <v>40374</v>
      </c>
      <c r="B41" s="82">
        <f>SUM(C21:N21)</f>
        <v>463654270.44679683</v>
      </c>
      <c r="C41" s="83">
        <f t="shared" si="3"/>
        <v>0.0004636542704467968</v>
      </c>
      <c r="D41" s="83">
        <f t="shared" si="0"/>
        <v>0.16934972228069253</v>
      </c>
      <c r="E41" s="209">
        <f>SUM(C22:N22)</f>
        <v>0</v>
      </c>
      <c r="F41" s="209"/>
      <c r="G41" s="84">
        <f t="shared" si="1"/>
        <v>0</v>
      </c>
      <c r="H41" s="84">
        <f t="shared" si="2"/>
        <v>0</v>
      </c>
      <c r="I41" s="12"/>
      <c r="J41" s="12"/>
      <c r="K41" s="12"/>
      <c r="L41" s="12"/>
      <c r="M41" s="53"/>
      <c r="N41" s="53"/>
    </row>
    <row r="42" spans="1:14" s="8" customFormat="1" ht="14.25">
      <c r="A42" s="87">
        <f>A23</f>
        <v>40405</v>
      </c>
      <c r="B42" s="82">
        <f>SUM(C23:N23)</f>
        <v>77689019.2232448</v>
      </c>
      <c r="C42" s="83">
        <f t="shared" si="3"/>
        <v>7.76890192232448E-05</v>
      </c>
      <c r="D42" s="83">
        <f t="shared" si="0"/>
        <v>0.028375914271290163</v>
      </c>
      <c r="E42" s="209">
        <f>SUM(C24:N24)</f>
        <v>0</v>
      </c>
      <c r="F42" s="209"/>
      <c r="G42" s="84">
        <f t="shared" si="1"/>
        <v>0</v>
      </c>
      <c r="H42" s="84">
        <f t="shared" si="2"/>
        <v>0</v>
      </c>
      <c r="I42" s="12"/>
      <c r="J42" s="12"/>
      <c r="K42" s="12"/>
      <c r="L42" s="12"/>
      <c r="M42" s="53"/>
      <c r="N42" s="53"/>
    </row>
    <row r="43" spans="1:14" ht="14.25">
      <c r="A43" s="87">
        <f>A25</f>
        <v>40436</v>
      </c>
      <c r="B43" s="82">
        <f>SUM(C25:N25)</f>
        <v>0</v>
      </c>
      <c r="C43" s="83">
        <f t="shared" si="3"/>
        <v>0</v>
      </c>
      <c r="D43" s="83">
        <f t="shared" si="0"/>
        <v>0</v>
      </c>
      <c r="E43" s="209">
        <f>SUM(C26:N26)</f>
        <v>0</v>
      </c>
      <c r="F43" s="209"/>
      <c r="G43" s="84">
        <f t="shared" si="1"/>
        <v>0</v>
      </c>
      <c r="H43" s="84">
        <f t="shared" si="2"/>
        <v>0</v>
      </c>
      <c r="M43" s="16"/>
      <c r="N43" s="16"/>
    </row>
    <row r="44" spans="1:14" s="8" customFormat="1" ht="14.25">
      <c r="A44" s="217" t="s">
        <v>65</v>
      </c>
      <c r="B44" s="217"/>
      <c r="C44" s="217"/>
      <c r="D44" s="83">
        <f>SUM(D32:D43)/12</f>
        <v>0.5049659851063187</v>
      </c>
      <c r="E44" s="21" t="s">
        <v>17</v>
      </c>
      <c r="H44" s="85">
        <f>SUM(H32:H43)</f>
        <v>0</v>
      </c>
      <c r="I44" s="18" t="s">
        <v>17</v>
      </c>
      <c r="L44" s="10"/>
      <c r="M44" s="16"/>
      <c r="N44" s="16"/>
    </row>
    <row r="45" spans="1:14" ht="14.25">
      <c r="A45" s="216" t="s">
        <v>42</v>
      </c>
      <c r="B45" s="216"/>
      <c r="C45" s="216"/>
      <c r="D45" s="83">
        <f>D44*EXP(-Overview!H31*LN(2)/4500)</f>
        <v>0.4990925442280126</v>
      </c>
      <c r="E45" s="23" t="s">
        <v>17</v>
      </c>
      <c r="H45" s="85">
        <f>H44*EXP(-Overview!H32*LN(2)/4500)</f>
        <v>0</v>
      </c>
      <c r="I45" s="18" t="s">
        <v>17</v>
      </c>
      <c r="M45" s="16"/>
      <c r="N45" s="16"/>
    </row>
    <row r="46" spans="1:14" s="4" customFormat="1" ht="14.25" customHeight="1">
      <c r="A46" s="204" t="s">
        <v>51</v>
      </c>
      <c r="B46" s="204"/>
      <c r="C46" s="204"/>
      <c r="D46" s="204"/>
      <c r="E46" s="204"/>
      <c r="F46" s="204"/>
      <c r="G46" s="86">
        <f>D45+H45</f>
        <v>0.4990925442280126</v>
      </c>
      <c r="H46" s="17" t="s">
        <v>17</v>
      </c>
      <c r="I46" s="17"/>
      <c r="J46" s="17"/>
      <c r="K46" s="17"/>
      <c r="L46" s="14"/>
      <c r="M46" s="13"/>
      <c r="N46" s="13"/>
    </row>
    <row r="47" spans="1:14" ht="14.25">
      <c r="A47" s="65" t="s">
        <v>49</v>
      </c>
      <c r="B47" s="66"/>
      <c r="C47" s="66"/>
      <c r="D47" s="66"/>
      <c r="E47" s="66"/>
      <c r="F47" s="17"/>
      <c r="G47" s="86">
        <f>1000000000000*G46/(Overview!C29*365.25*Overview!A36)</f>
        <v>2705.4866948036947</v>
      </c>
      <c r="H47" s="17" t="s">
        <v>50</v>
      </c>
      <c r="I47" s="17"/>
      <c r="J47" s="17"/>
      <c r="K47" s="17"/>
      <c r="L47" s="14"/>
      <c r="M47" s="8"/>
      <c r="N47" s="8"/>
    </row>
    <row r="48" spans="3:12" ht="13.5">
      <c r="C48" s="17"/>
      <c r="D48" s="17"/>
      <c r="E48" s="17"/>
      <c r="F48" s="17"/>
      <c r="G48" s="17"/>
      <c r="H48" s="17"/>
      <c r="I48" s="17"/>
      <c r="J48" s="17"/>
      <c r="K48" s="17"/>
      <c r="L48" s="14"/>
    </row>
    <row r="49" spans="3:12" ht="13.5">
      <c r="C49" s="17"/>
      <c r="D49" s="17"/>
      <c r="E49" s="17"/>
      <c r="F49" s="17"/>
      <c r="G49" s="17"/>
      <c r="H49" s="17"/>
      <c r="I49" s="17"/>
      <c r="J49" s="17"/>
      <c r="K49" s="17"/>
      <c r="L49" s="14"/>
    </row>
  </sheetData>
  <sheetProtection/>
  <mergeCells count="32">
    <mergeCell ref="E42:F42"/>
    <mergeCell ref="E37:F37"/>
    <mergeCell ref="E43:F43"/>
    <mergeCell ref="E38:F38"/>
    <mergeCell ref="E39:F39"/>
    <mergeCell ref="A45:C45"/>
    <mergeCell ref="E40:F40"/>
    <mergeCell ref="E41:F41"/>
    <mergeCell ref="A44:C44"/>
    <mergeCell ref="E35:F35"/>
    <mergeCell ref="E36:F36"/>
    <mergeCell ref="A29:H29"/>
    <mergeCell ref="B30:D30"/>
    <mergeCell ref="E30:H30"/>
    <mergeCell ref="E31:F31"/>
    <mergeCell ref="E33:F33"/>
    <mergeCell ref="A25:A26"/>
    <mergeCell ref="A9:A10"/>
    <mergeCell ref="A11:A12"/>
    <mergeCell ref="A13:A14"/>
    <mergeCell ref="A15:A16"/>
    <mergeCell ref="E34:F34"/>
    <mergeCell ref="A46:F46"/>
    <mergeCell ref="C2:N2"/>
    <mergeCell ref="A17:A18"/>
    <mergeCell ref="A19:A20"/>
    <mergeCell ref="A21:A22"/>
    <mergeCell ref="A3:A4"/>
    <mergeCell ref="E32:F32"/>
    <mergeCell ref="A5:A6"/>
    <mergeCell ref="A7:A8"/>
    <mergeCell ref="A23:A24"/>
  </mergeCells>
  <printOptions gridLines="1"/>
  <pageMargins left="0.7" right="0.7" top="0.75" bottom="0.75" header="0.3" footer="0.3"/>
  <pageSetup fitToHeight="1" fitToWidth="1" horizontalDpi="600" verticalDpi="600" orientation="landscape" scale="76" r:id="rId1"/>
  <headerFooter>
    <oddHeader>&amp;C&amp;14Activity-Flux Calculator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Cady</dc:creator>
  <cp:keywords/>
  <dc:description/>
  <cp:lastModifiedBy>Aird, Thomas</cp:lastModifiedBy>
  <cp:lastPrinted>2015-03-10T14:54:23Z</cp:lastPrinted>
  <dcterms:created xsi:type="dcterms:W3CDTF">2014-02-11T20:10:12Z</dcterms:created>
  <dcterms:modified xsi:type="dcterms:W3CDTF">2017-02-28T15:58:16Z</dcterms:modified>
  <cp:category/>
  <cp:version/>
  <cp:contentType/>
  <cp:contentStatus/>
</cp:coreProperties>
</file>